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7795" windowHeight="13860"/>
  </bookViews>
  <sheets>
    <sheet name="Hemet Rarity" sheetId="4" r:id="rId1"/>
  </sheets>
  <definedNames>
    <definedName name="_xlnm.Print_Area" localSheetId="0">'Hemet Rarity'!$A$1:$AM$40</definedName>
  </definedNames>
  <calcPr calcId="145621"/>
  <fileRecoveryPr repairLoad="1"/>
</workbook>
</file>

<file path=xl/calcChain.xml><?xml version="1.0" encoding="utf-8"?>
<calcChain xmlns="http://schemas.openxmlformats.org/spreadsheetml/2006/main">
  <c r="AM3" i="4" l="1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M3" i="4"/>
  <c r="L3" i="4"/>
  <c r="K3" i="4"/>
  <c r="J3" i="4"/>
  <c r="I3" i="4"/>
  <c r="H3" i="4"/>
  <c r="N3" i="4"/>
  <c r="AM4" i="4" l="1"/>
  <c r="AM7" i="4" s="1"/>
  <c r="AL4" i="4"/>
  <c r="AL10" i="4" s="1"/>
  <c r="AK4" i="4"/>
  <c r="AK7" i="4" s="1"/>
  <c r="AJ4" i="4"/>
  <c r="AJ7" i="4" s="1"/>
  <c r="AI4" i="4"/>
  <c r="AI7" i="4" s="1"/>
  <c r="AH4" i="4"/>
  <c r="AH10" i="4" s="1"/>
  <c r="AG4" i="4"/>
  <c r="AG7" i="4" s="1"/>
  <c r="AF4" i="4"/>
  <c r="AF7" i="4" s="1"/>
  <c r="AE4" i="4"/>
  <c r="AE7" i="4" s="1"/>
  <c r="AD4" i="4"/>
  <c r="AD10" i="4" s="1"/>
  <c r="AC4" i="4"/>
  <c r="AC7" i="4" s="1"/>
  <c r="AB4" i="4"/>
  <c r="AB7" i="4" s="1"/>
  <c r="AA4" i="4"/>
  <c r="AA7" i="4" s="1"/>
  <c r="Z4" i="4"/>
  <c r="Z10" i="4" s="1"/>
  <c r="Y4" i="4"/>
  <c r="Y7" i="4" s="1"/>
  <c r="X4" i="4"/>
  <c r="X7" i="4" s="1"/>
  <c r="W4" i="4"/>
  <c r="W7" i="4" s="1"/>
  <c r="V4" i="4"/>
  <c r="V10" i="4" s="1"/>
  <c r="U4" i="4"/>
  <c r="U7" i="4" s="1"/>
  <c r="T4" i="4"/>
  <c r="T7" i="4" s="1"/>
  <c r="S4" i="4"/>
  <c r="S7" i="4" s="1"/>
  <c r="R4" i="4"/>
  <c r="R10" i="4" s="1"/>
  <c r="Q4" i="4"/>
  <c r="Q7" i="4" s="1"/>
  <c r="P4" i="4"/>
  <c r="P7" i="4" s="1"/>
  <c r="O4" i="4"/>
  <c r="O7" i="4" s="1"/>
  <c r="N4" i="4"/>
  <c r="N10" i="4" s="1"/>
  <c r="M4" i="4"/>
  <c r="M7" i="4" s="1"/>
  <c r="L4" i="4"/>
  <c r="L7" i="4" s="1"/>
  <c r="K4" i="4"/>
  <c r="K7" i="4" s="1"/>
  <c r="J4" i="4"/>
  <c r="J10" i="4" s="1"/>
  <c r="I4" i="4"/>
  <c r="I7" i="4" s="1"/>
  <c r="H4" i="4"/>
  <c r="H7" i="4" s="1"/>
  <c r="T10" i="4" l="1"/>
  <c r="T8" i="4" s="1"/>
  <c r="L10" i="4"/>
  <c r="L8" i="4" s="1"/>
  <c r="AI10" i="4"/>
  <c r="AI13" i="4" s="1"/>
  <c r="S10" i="4"/>
  <c r="S13" i="4" s="1"/>
  <c r="AJ10" i="4"/>
  <c r="AJ13" i="4" s="1"/>
  <c r="N7" i="4"/>
  <c r="N8" i="4" s="1"/>
  <c r="AB10" i="4"/>
  <c r="AB8" i="4" s="1"/>
  <c r="AD7" i="4"/>
  <c r="AD8" i="4" s="1"/>
  <c r="R7" i="4"/>
  <c r="R8" i="4" s="1"/>
  <c r="AH7" i="4"/>
  <c r="AH8" i="4" s="1"/>
  <c r="V7" i="4"/>
  <c r="V8" i="4" s="1"/>
  <c r="AL7" i="4"/>
  <c r="AL8" i="4" s="1"/>
  <c r="K10" i="4"/>
  <c r="K13" i="4" s="1"/>
  <c r="AA10" i="4"/>
  <c r="AA13" i="4" s="1"/>
  <c r="J7" i="4"/>
  <c r="J8" i="4" s="1"/>
  <c r="Z7" i="4"/>
  <c r="S8" i="4"/>
  <c r="R13" i="4"/>
  <c r="V13" i="4"/>
  <c r="Z8" i="4"/>
  <c r="Z13" i="4"/>
  <c r="AD13" i="4"/>
  <c r="AH13" i="4"/>
  <c r="AL13" i="4"/>
  <c r="AJ8" i="4"/>
  <c r="J13" i="4"/>
  <c r="J16" i="4" s="1"/>
  <c r="O10" i="4"/>
  <c r="W10" i="4"/>
  <c r="AE10" i="4"/>
  <c r="AM10" i="4"/>
  <c r="H10" i="4"/>
  <c r="P10" i="4"/>
  <c r="X10" i="4"/>
  <c r="AF10" i="4"/>
  <c r="N13" i="4"/>
  <c r="N22" i="4" s="1"/>
  <c r="I10" i="4"/>
  <c r="M10" i="4"/>
  <c r="Q10" i="4"/>
  <c r="U10" i="4"/>
  <c r="Y10" i="4"/>
  <c r="AC10" i="4"/>
  <c r="AG10" i="4"/>
  <c r="AK10" i="4"/>
  <c r="Z40" i="4" l="1"/>
  <c r="Z32" i="4"/>
  <c r="Z30" i="4"/>
  <c r="Z34" i="4"/>
  <c r="Z28" i="4"/>
  <c r="Z22" i="4"/>
  <c r="AJ32" i="4"/>
  <c r="AJ36" i="4"/>
  <c r="AJ30" i="4"/>
  <c r="AJ40" i="4"/>
  <c r="AJ38" i="4"/>
  <c r="AL38" i="4"/>
  <c r="AL42" i="4"/>
  <c r="AL32" i="4"/>
  <c r="AL30" i="4"/>
  <c r="AL40" i="4"/>
  <c r="S18" i="4"/>
  <c r="S32" i="4"/>
  <c r="S30" i="4"/>
  <c r="S28" i="4"/>
  <c r="S22" i="4"/>
  <c r="AH38" i="4"/>
  <c r="AH32" i="4"/>
  <c r="AH36" i="4"/>
  <c r="AH30" i="4"/>
  <c r="AH40" i="4"/>
  <c r="AH28" i="4"/>
  <c r="V32" i="4"/>
  <c r="V30" i="4"/>
  <c r="V34" i="4"/>
  <c r="V28" i="4"/>
  <c r="V22" i="4"/>
  <c r="AI32" i="4"/>
  <c r="AI36" i="4"/>
  <c r="AI30" i="4"/>
  <c r="AI40" i="4"/>
  <c r="AI38" i="4"/>
  <c r="AD38" i="4"/>
  <c r="AD22" i="4"/>
  <c r="AD32" i="4"/>
  <c r="AD36" i="4"/>
  <c r="AD30" i="4"/>
  <c r="AD40" i="4"/>
  <c r="AD34" i="4"/>
  <c r="AD28" i="4"/>
  <c r="R18" i="4"/>
  <c r="R26" i="4"/>
  <c r="R32" i="4"/>
  <c r="R28" i="4"/>
  <c r="R22" i="4"/>
  <c r="AA32" i="4"/>
  <c r="AA30" i="4"/>
  <c r="AA40" i="4"/>
  <c r="AA34" i="4"/>
  <c r="AA28" i="4"/>
  <c r="AA38" i="4"/>
  <c r="AA22" i="4"/>
  <c r="N20" i="4"/>
  <c r="N18" i="4"/>
  <c r="K16" i="4"/>
  <c r="K18" i="4"/>
  <c r="AB13" i="4"/>
  <c r="T13" i="4"/>
  <c r="AI8" i="4"/>
  <c r="L13" i="4"/>
  <c r="L22" i="4" s="1"/>
  <c r="AA8" i="4"/>
  <c r="K8" i="4"/>
  <c r="U8" i="4"/>
  <c r="U13" i="4"/>
  <c r="H13" i="4"/>
  <c r="H16" i="4" s="1"/>
  <c r="H8" i="4"/>
  <c r="AE13" i="4"/>
  <c r="AE8" i="4"/>
  <c r="AG8" i="4"/>
  <c r="AG13" i="4"/>
  <c r="AF13" i="4"/>
  <c r="AF8" i="4"/>
  <c r="W13" i="4"/>
  <c r="W8" i="4"/>
  <c r="AC8" i="4"/>
  <c r="AC13" i="4"/>
  <c r="M8" i="4"/>
  <c r="M13" i="4"/>
  <c r="M22" i="4" s="1"/>
  <c r="X13" i="4"/>
  <c r="X8" i="4"/>
  <c r="O13" i="4"/>
  <c r="O8" i="4"/>
  <c r="AK8" i="4"/>
  <c r="AK13" i="4"/>
  <c r="Q8" i="4"/>
  <c r="Q13" i="4"/>
  <c r="Y8" i="4"/>
  <c r="Y13" i="4"/>
  <c r="I8" i="4"/>
  <c r="I13" i="4"/>
  <c r="I16" i="4" s="1"/>
  <c r="P13" i="4"/>
  <c r="P8" i="4"/>
  <c r="AM8" i="4"/>
  <c r="AM13" i="4"/>
  <c r="Y34" i="4" l="1"/>
  <c r="Y28" i="4"/>
  <c r="Y22" i="4"/>
  <c r="Y32" i="4"/>
  <c r="Y30" i="4"/>
  <c r="AK40" i="4"/>
  <c r="AK38" i="4"/>
  <c r="AK32" i="4"/>
  <c r="AK36" i="4"/>
  <c r="AK30" i="4"/>
  <c r="AC40" i="4"/>
  <c r="AC34" i="4"/>
  <c r="AC28" i="4"/>
  <c r="AC38" i="4"/>
  <c r="AC22" i="4"/>
  <c r="AC32" i="4"/>
  <c r="AC36" i="4"/>
  <c r="AC30" i="4"/>
  <c r="U34" i="4"/>
  <c r="U28" i="4"/>
  <c r="U22" i="4"/>
  <c r="U32" i="4"/>
  <c r="U30" i="4"/>
  <c r="P22" i="4"/>
  <c r="P24" i="4"/>
  <c r="X32" i="4"/>
  <c r="X30" i="4"/>
  <c r="X34" i="4"/>
  <c r="X28" i="4"/>
  <c r="X22" i="4"/>
  <c r="AF32" i="4"/>
  <c r="AF36" i="4"/>
  <c r="AF30" i="4"/>
  <c r="AF40" i="4"/>
  <c r="AF28" i="4"/>
  <c r="AF38" i="4"/>
  <c r="AF22" i="4"/>
  <c r="AE32" i="4"/>
  <c r="AE36" i="4"/>
  <c r="AE30" i="4"/>
  <c r="AE40" i="4"/>
  <c r="AE34" i="4"/>
  <c r="AE28" i="4"/>
  <c r="AE38" i="4"/>
  <c r="AE22" i="4"/>
  <c r="AM42" i="4"/>
  <c r="F41" i="4" s="1"/>
  <c r="AM32" i="4"/>
  <c r="AM30" i="4"/>
  <c r="AM40" i="4"/>
  <c r="Q18" i="4"/>
  <c r="Q26" i="4"/>
  <c r="F25" i="4" s="1"/>
  <c r="Q22" i="4"/>
  <c r="Q28" i="4"/>
  <c r="Q24" i="4"/>
  <c r="AG40" i="4"/>
  <c r="AG28" i="4"/>
  <c r="AG38" i="4"/>
  <c r="AG22" i="4"/>
  <c r="AG32" i="4"/>
  <c r="AG36" i="4"/>
  <c r="AG30" i="4"/>
  <c r="T32" i="4"/>
  <c r="T30" i="4"/>
  <c r="T28" i="4"/>
  <c r="T22" i="4"/>
  <c r="O22" i="4"/>
  <c r="O24" i="4"/>
  <c r="W32" i="4"/>
  <c r="W30" i="4"/>
  <c r="W34" i="4"/>
  <c r="W28" i="4"/>
  <c r="W22" i="4"/>
  <c r="AB32" i="4"/>
  <c r="AB30" i="4"/>
  <c r="AB40" i="4"/>
  <c r="F39" i="4" s="1"/>
  <c r="AB34" i="4"/>
  <c r="AB28" i="4"/>
  <c r="AB38" i="4"/>
  <c r="AB22" i="4"/>
  <c r="P18" i="4"/>
  <c r="P20" i="4"/>
  <c r="M18" i="4"/>
  <c r="M20" i="4"/>
  <c r="O20" i="4"/>
  <c r="O18" i="4"/>
  <c r="L18" i="4"/>
  <c r="L16" i="4"/>
  <c r="F15" i="4" s="1"/>
  <c r="F37" i="4" l="1"/>
  <c r="F21" i="4"/>
  <c r="F31" i="4"/>
  <c r="F29" i="4"/>
  <c r="F19" i="4"/>
  <c r="F17" i="4"/>
  <c r="F27" i="4"/>
  <c r="F23" i="4"/>
  <c r="F35" i="4"/>
  <c r="F33" i="4"/>
  <c r="F43" i="4" l="1"/>
  <c r="D19" i="4" l="1"/>
  <c r="D17" i="4"/>
  <c r="D15" i="4"/>
  <c r="D31" i="4"/>
  <c r="D25" i="4"/>
  <c r="D29" i="4"/>
  <c r="D39" i="4"/>
  <c r="D41" i="4"/>
  <c r="D21" i="4"/>
  <c r="D35" i="4"/>
  <c r="D37" i="4"/>
  <c r="E41" i="4"/>
  <c r="D27" i="4"/>
  <c r="D33" i="4"/>
  <c r="D23" i="4"/>
</calcChain>
</file>

<file path=xl/sharedStrings.xml><?xml version="1.0" encoding="utf-8"?>
<sst xmlns="http://schemas.openxmlformats.org/spreadsheetml/2006/main" count="69" uniqueCount="37">
  <si>
    <t>Flattop</t>
  </si>
  <si>
    <t>Raincap</t>
  </si>
  <si>
    <t>8-Spoke</t>
  </si>
  <si>
    <t>4-Strap</t>
  </si>
  <si>
    <t>Improved Head Harness</t>
  </si>
  <si>
    <t>Princeton Style</t>
  </si>
  <si>
    <t>Ear Protector</t>
  </si>
  <si>
    <t>Dog Ear</t>
  </si>
  <si>
    <t xml:space="preserve"> </t>
  </si>
  <si>
    <t>Chicago Head Harness</t>
  </si>
  <si>
    <t>Boy's 4-Strap</t>
  </si>
  <si>
    <t>Zuppke</t>
  </si>
  <si>
    <t>Note:  This chart compiles information from available Spalding catalogs.  Catalogs were not available for all years.  If you have additional information to supplement this chart, please contact me at chornung@ymail.com</t>
  </si>
  <si>
    <t>U.S. Population</t>
  </si>
  <si>
    <t>% Between 15-24</t>
  </si>
  <si>
    <t>% Between Male</t>
  </si>
  <si>
    <t>Toal Number Playing H.S. Or College Football</t>
  </si>
  <si>
    <t>`</t>
  </si>
  <si>
    <t>Males Between 15-24</t>
  </si>
  <si>
    <t>% 18-24 Males Playing HS or College Football</t>
  </si>
  <si>
    <t>% Playing Population HS or College Football</t>
  </si>
  <si>
    <t>Frequency of Helmet Use by Players</t>
  </si>
  <si>
    <t>Estimated New Helmets Purchased by Year</t>
  </si>
  <si>
    <t>Harvard Style Flattop</t>
  </si>
  <si>
    <t>Pneumatic/Inflatable</t>
  </si>
  <si>
    <t>Helmet Style</t>
  </si>
  <si>
    <t>Image</t>
  </si>
  <si>
    <t>% Wearers Purchasing New Helmet in Given Year</t>
  </si>
  <si>
    <t>Estimate of Total Production</t>
  </si>
  <si>
    <t>% Marketshare</t>
  </si>
  <si>
    <t>Annual Production Estimate</t>
  </si>
  <si>
    <t>``</t>
  </si>
  <si>
    <t>Rarity Index</t>
  </si>
  <si>
    <t>%</t>
  </si>
  <si>
    <t>Rarity Rank</t>
  </si>
  <si>
    <t>Aviator</t>
  </si>
  <si>
    <t xml:space="preserve">1894-1925 Head Harness Rarity Chart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</si>
</sst>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0"/>
      <color indexed="8"/>
      <name val="Archive Copperplate Text"/>
      <family val="5"/>
    </font>
    <font>
      <b/>
      <sz val="3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36"/>
      <color indexed="8"/>
      <name val="Calibri"/>
      <family val="2"/>
    </font>
    <font>
      <sz val="16"/>
      <color theme="1"/>
      <name val="Calibri"/>
      <family val="2"/>
      <scheme val="minor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0"/>
      <color indexed="8"/>
      <name val="Arial Black"/>
      <family val="2"/>
    </font>
    <font>
      <b/>
      <sz val="16"/>
      <color theme="1"/>
      <name val="Calibri"/>
      <family val="2"/>
      <scheme val="minor"/>
    </font>
    <font>
      <b/>
      <sz val="90"/>
      <color indexed="8"/>
      <name val="Palatino Linotype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0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18">
    <xf numFmtId="0" fontId="0" fillId="0" borderId="0" xfId="0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Border="1"/>
    <xf numFmtId="0" fontId="0" fillId="0" borderId="5" xfId="0" applyBorder="1"/>
    <xf numFmtId="0" fontId="0" fillId="4" borderId="10" xfId="0" applyFill="1" applyBorder="1"/>
    <xf numFmtId="0" fontId="0" fillId="0" borderId="13" xfId="0" applyBorder="1"/>
    <xf numFmtId="0" fontId="8" fillId="8" borderId="0" xfId="0" applyFont="1" applyFill="1" applyAlignment="1">
      <alignment vertical="center"/>
    </xf>
    <xf numFmtId="0" fontId="8" fillId="8" borderId="0" xfId="0" applyFont="1" applyFill="1" applyAlignment="1">
      <alignment horizontal="left" wrapText="1" indent="1"/>
    </xf>
    <xf numFmtId="0" fontId="0" fillId="8" borderId="0" xfId="0" applyFill="1"/>
    <xf numFmtId="0" fontId="8" fillId="8" borderId="0" xfId="0" applyFont="1" applyFill="1" applyAlignment="1">
      <alignment wrapText="1"/>
    </xf>
    <xf numFmtId="0" fontId="4" fillId="4" borderId="28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 wrapText="1"/>
    </xf>
    <xf numFmtId="3" fontId="3" fillId="3" borderId="32" xfId="0" applyNumberFormat="1" applyFont="1" applyFill="1" applyBorder="1" applyAlignment="1">
      <alignment horizontal="left" vertical="center"/>
    </xf>
    <xf numFmtId="3" fontId="6" fillId="3" borderId="33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/>
    <xf numFmtId="3" fontId="10" fillId="4" borderId="7" xfId="0" applyNumberFormat="1" applyFont="1" applyFill="1" applyBorder="1" applyAlignment="1">
      <alignment horizontal="center" vertical="center"/>
    </xf>
    <xf numFmtId="3" fontId="10" fillId="4" borderId="11" xfId="0" applyNumberFormat="1" applyFont="1" applyFill="1" applyBorder="1" applyAlignment="1">
      <alignment horizontal="center" vertical="center"/>
    </xf>
    <xf numFmtId="3" fontId="10" fillId="5" borderId="10" xfId="0" applyNumberFormat="1" applyFont="1" applyFill="1" applyBorder="1" applyAlignment="1">
      <alignment horizontal="center" vertical="center"/>
    </xf>
    <xf numFmtId="3" fontId="10" fillId="5" borderId="7" xfId="0" applyNumberFormat="1" applyFont="1" applyFill="1" applyBorder="1" applyAlignment="1">
      <alignment horizontal="center" vertical="center"/>
    </xf>
    <xf numFmtId="3" fontId="10" fillId="5" borderId="11" xfId="0" applyNumberFormat="1" applyFont="1" applyFill="1" applyBorder="1" applyAlignment="1">
      <alignment horizontal="center" vertical="center"/>
    </xf>
    <xf numFmtId="3" fontId="10" fillId="6" borderId="10" xfId="0" applyNumberFormat="1" applyFont="1" applyFill="1" applyBorder="1" applyAlignment="1">
      <alignment horizontal="center" vertical="center"/>
    </xf>
    <xf numFmtId="3" fontId="10" fillId="6" borderId="7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7" borderId="9" xfId="0" applyNumberFormat="1" applyFont="1" applyFill="1" applyBorder="1" applyAlignment="1">
      <alignment horizontal="center" vertical="center"/>
    </xf>
    <xf numFmtId="3" fontId="10" fillId="7" borderId="7" xfId="0" applyNumberFormat="1" applyFont="1" applyFill="1" applyBorder="1" applyAlignment="1">
      <alignment horizontal="center" vertical="center"/>
    </xf>
    <xf numFmtId="3" fontId="10" fillId="7" borderId="11" xfId="0" applyNumberFormat="1" applyFont="1" applyFill="1" applyBorder="1" applyAlignment="1">
      <alignment horizontal="center" vertical="center"/>
    </xf>
    <xf numFmtId="9" fontId="3" fillId="3" borderId="32" xfId="0" applyNumberFormat="1" applyFont="1" applyFill="1" applyBorder="1" applyAlignment="1">
      <alignment horizontal="left" vertical="center"/>
    </xf>
    <xf numFmtId="9" fontId="6" fillId="3" borderId="33" xfId="0" applyNumberFormat="1" applyFont="1" applyFill="1" applyBorder="1" applyAlignment="1">
      <alignment horizontal="center" vertical="center"/>
    </xf>
    <xf numFmtId="9" fontId="10" fillId="4" borderId="11" xfId="0" applyNumberFormat="1" applyFont="1" applyFill="1" applyBorder="1" applyAlignment="1">
      <alignment horizontal="center" vertical="center"/>
    </xf>
    <xf numFmtId="9" fontId="10" fillId="5" borderId="10" xfId="0" applyNumberFormat="1" applyFont="1" applyFill="1" applyBorder="1" applyAlignment="1">
      <alignment horizontal="center" vertical="center"/>
    </xf>
    <xf numFmtId="9" fontId="10" fillId="5" borderId="7" xfId="0" applyNumberFormat="1" applyFont="1" applyFill="1" applyBorder="1" applyAlignment="1">
      <alignment horizontal="center" vertical="center"/>
    </xf>
    <xf numFmtId="9" fontId="10" fillId="5" borderId="11" xfId="0" applyNumberFormat="1" applyFont="1" applyFill="1" applyBorder="1" applyAlignment="1">
      <alignment horizontal="center" vertical="center"/>
    </xf>
    <xf numFmtId="9" fontId="10" fillId="6" borderId="10" xfId="0" applyNumberFormat="1" applyFont="1" applyFill="1" applyBorder="1" applyAlignment="1">
      <alignment horizontal="center" vertical="center"/>
    </xf>
    <xf numFmtId="9" fontId="10" fillId="6" borderId="7" xfId="0" applyNumberFormat="1" applyFont="1" applyFill="1" applyBorder="1" applyAlignment="1">
      <alignment horizontal="center" vertical="center"/>
    </xf>
    <xf numFmtId="9" fontId="10" fillId="6" borderId="12" xfId="0" applyNumberFormat="1" applyFont="1" applyFill="1" applyBorder="1" applyAlignment="1">
      <alignment horizontal="center" vertical="center"/>
    </xf>
    <xf numFmtId="9" fontId="10" fillId="7" borderId="9" xfId="0" applyNumberFormat="1" applyFont="1" applyFill="1" applyBorder="1" applyAlignment="1">
      <alignment horizontal="center" vertical="center"/>
    </xf>
    <xf numFmtId="9" fontId="10" fillId="7" borderId="7" xfId="0" applyNumberFormat="1" applyFont="1" applyFill="1" applyBorder="1" applyAlignment="1">
      <alignment horizontal="center" vertical="center"/>
    </xf>
    <xf numFmtId="9" fontId="10" fillId="7" borderId="11" xfId="0" applyNumberFormat="1" applyFont="1" applyFill="1" applyBorder="1" applyAlignment="1">
      <alignment horizontal="center" vertical="center"/>
    </xf>
    <xf numFmtId="9" fontId="9" fillId="0" borderId="0" xfId="0" applyNumberFormat="1" applyFont="1" applyBorder="1"/>
    <xf numFmtId="10" fontId="3" fillId="3" borderId="32" xfId="0" applyNumberFormat="1" applyFont="1" applyFill="1" applyBorder="1" applyAlignment="1">
      <alignment horizontal="left" vertical="center"/>
    </xf>
    <xf numFmtId="10" fontId="6" fillId="3" borderId="33" xfId="0" applyNumberFormat="1" applyFont="1" applyFill="1" applyBorder="1" applyAlignment="1">
      <alignment horizontal="center" vertical="center"/>
    </xf>
    <xf numFmtId="10" fontId="10" fillId="4" borderId="33" xfId="0" applyNumberFormat="1" applyFont="1" applyFill="1" applyBorder="1" applyAlignment="1">
      <alignment horizontal="center" vertical="center"/>
    </xf>
    <xf numFmtId="10" fontId="10" fillId="4" borderId="11" xfId="0" applyNumberFormat="1" applyFont="1" applyFill="1" applyBorder="1" applyAlignment="1">
      <alignment horizontal="center" vertical="center"/>
    </xf>
    <xf numFmtId="10" fontId="10" fillId="5" borderId="10" xfId="0" applyNumberFormat="1" applyFont="1" applyFill="1" applyBorder="1" applyAlignment="1">
      <alignment horizontal="center" vertical="center"/>
    </xf>
    <xf numFmtId="10" fontId="10" fillId="5" borderId="7" xfId="0" applyNumberFormat="1" applyFont="1" applyFill="1" applyBorder="1" applyAlignment="1">
      <alignment horizontal="center" vertical="center"/>
    </xf>
    <xf numFmtId="10" fontId="10" fillId="5" borderId="11" xfId="0" applyNumberFormat="1" applyFont="1" applyFill="1" applyBorder="1" applyAlignment="1">
      <alignment horizontal="center" vertical="center"/>
    </xf>
    <xf numFmtId="10" fontId="10" fillId="6" borderId="10" xfId="0" applyNumberFormat="1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0" fillId="7" borderId="9" xfId="0" applyNumberFormat="1" applyFont="1" applyFill="1" applyBorder="1" applyAlignment="1">
      <alignment horizontal="center" vertical="center"/>
    </xf>
    <xf numFmtId="10" fontId="10" fillId="7" borderId="7" xfId="0" applyNumberFormat="1" applyFont="1" applyFill="1" applyBorder="1" applyAlignment="1">
      <alignment horizontal="center" vertical="center"/>
    </xf>
    <xf numFmtId="10" fontId="10" fillId="7" borderId="11" xfId="0" applyNumberFormat="1" applyFont="1" applyFill="1" applyBorder="1" applyAlignment="1">
      <alignment horizontal="center" vertical="center"/>
    </xf>
    <xf numFmtId="10" fontId="9" fillId="0" borderId="0" xfId="0" applyNumberFormat="1" applyFont="1" applyBorder="1"/>
    <xf numFmtId="9" fontId="3" fillId="3" borderId="34" xfId="0" applyNumberFormat="1" applyFont="1" applyFill="1" applyBorder="1" applyAlignment="1">
      <alignment horizontal="left" vertical="center"/>
    </xf>
    <xf numFmtId="9" fontId="3" fillId="3" borderId="35" xfId="0" applyNumberFormat="1" applyFont="1" applyFill="1" applyBorder="1" applyAlignment="1">
      <alignment horizontal="left" vertical="center" wrapText="1"/>
    </xf>
    <xf numFmtId="9" fontId="3" fillId="3" borderId="35" xfId="0" applyNumberFormat="1" applyFont="1" applyFill="1" applyBorder="1" applyAlignment="1">
      <alignment horizontal="left" vertical="center"/>
    </xf>
    <xf numFmtId="9" fontId="4" fillId="4" borderId="14" xfId="0" applyNumberFormat="1" applyFont="1" applyFill="1" applyBorder="1" applyAlignment="1">
      <alignment horizontal="center" vertical="center"/>
    </xf>
    <xf numFmtId="9" fontId="4" fillId="5" borderId="14" xfId="0" applyNumberFormat="1" applyFont="1" applyFill="1" applyBorder="1" applyAlignment="1">
      <alignment horizontal="center" vertical="center"/>
    </xf>
    <xf numFmtId="9" fontId="4" fillId="6" borderId="14" xfId="0" applyNumberFormat="1" applyFont="1" applyFill="1" applyBorder="1" applyAlignment="1">
      <alignment horizontal="center" vertical="center"/>
    </xf>
    <xf numFmtId="9" fontId="4" fillId="6" borderId="8" xfId="0" applyNumberFormat="1" applyFont="1" applyFill="1" applyBorder="1" applyAlignment="1">
      <alignment horizontal="center" vertical="center"/>
    </xf>
    <xf numFmtId="9" fontId="4" fillId="7" borderId="6" xfId="0" applyNumberFormat="1" applyFont="1" applyFill="1" applyBorder="1" applyAlignment="1">
      <alignment horizontal="center" vertical="center"/>
    </xf>
    <xf numFmtId="9" fontId="4" fillId="7" borderId="14" xfId="0" applyNumberFormat="1" applyFont="1" applyFill="1" applyBorder="1" applyAlignment="1">
      <alignment horizontal="center" vertical="center"/>
    </xf>
    <xf numFmtId="9" fontId="0" fillId="0" borderId="0" xfId="0" applyNumberFormat="1" applyBorder="1"/>
    <xf numFmtId="9" fontId="10" fillId="5" borderId="16" xfId="0" applyNumberFormat="1" applyFont="1" applyFill="1" applyBorder="1" applyAlignment="1">
      <alignment horizontal="center" vertical="center"/>
    </xf>
    <xf numFmtId="9" fontId="10" fillId="5" borderId="14" xfId="0" applyNumberFormat="1" applyFont="1" applyFill="1" applyBorder="1" applyAlignment="1">
      <alignment horizontal="center" vertical="center"/>
    </xf>
    <xf numFmtId="9" fontId="10" fillId="5" borderId="17" xfId="0" applyNumberFormat="1" applyFont="1" applyFill="1" applyBorder="1" applyAlignment="1">
      <alignment horizontal="center" vertical="center"/>
    </xf>
    <xf numFmtId="9" fontId="10" fillId="6" borderId="16" xfId="0" applyNumberFormat="1" applyFont="1" applyFill="1" applyBorder="1" applyAlignment="1">
      <alignment horizontal="center" vertical="center"/>
    </xf>
    <xf numFmtId="9" fontId="10" fillId="6" borderId="14" xfId="0" applyNumberFormat="1" applyFont="1" applyFill="1" applyBorder="1" applyAlignment="1">
      <alignment horizontal="center" vertical="center"/>
    </xf>
    <xf numFmtId="9" fontId="10" fillId="6" borderId="8" xfId="0" applyNumberFormat="1" applyFont="1" applyFill="1" applyBorder="1" applyAlignment="1">
      <alignment horizontal="center" vertical="center"/>
    </xf>
    <xf numFmtId="9" fontId="10" fillId="7" borderId="6" xfId="0" applyNumberFormat="1" applyFont="1" applyFill="1" applyBorder="1" applyAlignment="1">
      <alignment horizontal="center" vertical="center"/>
    </xf>
    <xf numFmtId="9" fontId="10" fillId="7" borderId="14" xfId="0" applyNumberFormat="1" applyFont="1" applyFill="1" applyBorder="1" applyAlignment="1">
      <alignment horizontal="center" vertical="center"/>
    </xf>
    <xf numFmtId="9" fontId="10" fillId="7" borderId="17" xfId="0" applyNumberFormat="1" applyFont="1" applyFill="1" applyBorder="1" applyAlignment="1">
      <alignment horizontal="center" vertical="center"/>
    </xf>
    <xf numFmtId="165" fontId="10" fillId="4" borderId="17" xfId="0" applyNumberFormat="1" applyFont="1" applyFill="1" applyBorder="1" applyAlignment="1">
      <alignment horizontal="center" vertical="center"/>
    </xf>
    <xf numFmtId="165" fontId="10" fillId="5" borderId="14" xfId="0" applyNumberFormat="1" applyFont="1" applyFill="1" applyBorder="1" applyAlignment="1">
      <alignment horizontal="center" vertical="center"/>
    </xf>
    <xf numFmtId="165" fontId="10" fillId="6" borderId="14" xfId="0" applyNumberFormat="1" applyFont="1" applyFill="1" applyBorder="1" applyAlignment="1">
      <alignment horizontal="center" vertical="center"/>
    </xf>
    <xf numFmtId="165" fontId="10" fillId="6" borderId="8" xfId="0" applyNumberFormat="1" applyFont="1" applyFill="1" applyBorder="1" applyAlignment="1">
      <alignment horizontal="center" vertical="center"/>
    </xf>
    <xf numFmtId="10" fontId="10" fillId="4" borderId="7" xfId="0" applyNumberFormat="1" applyFont="1" applyFill="1" applyBorder="1" applyAlignment="1">
      <alignment horizontal="center" vertical="center"/>
    </xf>
    <xf numFmtId="165" fontId="10" fillId="4" borderId="7" xfId="0" applyNumberFormat="1" applyFont="1" applyFill="1" applyBorder="1" applyAlignment="1">
      <alignment horizontal="center" vertical="center"/>
    </xf>
    <xf numFmtId="9" fontId="10" fillId="4" borderId="7" xfId="0" applyNumberFormat="1" applyFont="1" applyFill="1" applyBorder="1" applyAlignment="1">
      <alignment horizontal="center" vertical="center"/>
    </xf>
    <xf numFmtId="0" fontId="0" fillId="4" borderId="25" xfId="0" applyFill="1" applyBorder="1"/>
    <xf numFmtId="0" fontId="0" fillId="4" borderId="22" xfId="0" applyFill="1" applyBorder="1"/>
    <xf numFmtId="0" fontId="0" fillId="4" borderId="26" xfId="0" applyFill="1" applyBorder="1"/>
    <xf numFmtId="0" fontId="13" fillId="5" borderId="25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3" fontId="3" fillId="3" borderId="36" xfId="0" applyNumberFormat="1" applyFont="1" applyFill="1" applyBorder="1" applyAlignment="1">
      <alignment horizontal="left" vertical="center"/>
    </xf>
    <xf numFmtId="3" fontId="6" fillId="3" borderId="33" xfId="0" applyNumberFormat="1" applyFont="1" applyFill="1" applyBorder="1" applyAlignment="1">
      <alignment horizontal="left" vertical="center" wrapText="1"/>
    </xf>
    <xf numFmtId="9" fontId="6" fillId="3" borderId="33" xfId="0" applyNumberFormat="1" applyFont="1" applyFill="1" applyBorder="1" applyAlignment="1">
      <alignment horizontal="left" vertical="center" wrapText="1"/>
    </xf>
    <xf numFmtId="10" fontId="6" fillId="3" borderId="33" xfId="0" applyNumberFormat="1" applyFont="1" applyFill="1" applyBorder="1" applyAlignment="1">
      <alignment horizontal="left" vertical="center" wrapText="1"/>
    </xf>
    <xf numFmtId="3" fontId="6" fillId="3" borderId="37" xfId="0" applyNumberFormat="1" applyFont="1" applyFill="1" applyBorder="1" applyAlignment="1">
      <alignment horizontal="left" vertical="center" wrapText="1"/>
    </xf>
    <xf numFmtId="3" fontId="6" fillId="3" borderId="37" xfId="0" applyNumberFormat="1" applyFont="1" applyFill="1" applyBorder="1" applyAlignment="1">
      <alignment horizontal="center" vertical="center"/>
    </xf>
    <xf numFmtId="3" fontId="6" fillId="3" borderId="53" xfId="0" applyNumberFormat="1" applyFont="1" applyFill="1" applyBorder="1" applyAlignment="1">
      <alignment horizontal="left" vertical="center" wrapText="1"/>
    </xf>
    <xf numFmtId="3" fontId="10" fillId="4" borderId="55" xfId="0" applyNumberFormat="1" applyFont="1" applyFill="1" applyBorder="1" applyAlignment="1">
      <alignment horizontal="center" vertical="center"/>
    </xf>
    <xf numFmtId="3" fontId="10" fillId="4" borderId="56" xfId="0" applyNumberFormat="1" applyFont="1" applyFill="1" applyBorder="1" applyAlignment="1">
      <alignment horizontal="center" vertical="center"/>
    </xf>
    <xf numFmtId="3" fontId="10" fillId="4" borderId="57" xfId="0" applyNumberFormat="1" applyFont="1" applyFill="1" applyBorder="1" applyAlignment="1">
      <alignment horizontal="center" vertical="center"/>
    </xf>
    <xf numFmtId="3" fontId="10" fillId="5" borderId="55" xfId="0" applyNumberFormat="1" applyFont="1" applyFill="1" applyBorder="1" applyAlignment="1">
      <alignment horizontal="center" vertical="center"/>
    </xf>
    <xf numFmtId="3" fontId="10" fillId="5" borderId="56" xfId="0" applyNumberFormat="1" applyFont="1" applyFill="1" applyBorder="1" applyAlignment="1">
      <alignment horizontal="center" vertical="center"/>
    </xf>
    <xf numFmtId="3" fontId="10" fillId="5" borderId="57" xfId="0" applyNumberFormat="1" applyFont="1" applyFill="1" applyBorder="1" applyAlignment="1">
      <alignment horizontal="center" vertical="center"/>
    </xf>
    <xf numFmtId="3" fontId="10" fillId="6" borderId="55" xfId="0" applyNumberFormat="1" applyFont="1" applyFill="1" applyBorder="1" applyAlignment="1">
      <alignment horizontal="center" vertical="center"/>
    </xf>
    <xf numFmtId="3" fontId="10" fillId="6" borderId="56" xfId="0" applyNumberFormat="1" applyFont="1" applyFill="1" applyBorder="1" applyAlignment="1">
      <alignment horizontal="center" vertical="center"/>
    </xf>
    <xf numFmtId="3" fontId="10" fillId="6" borderId="58" xfId="0" applyNumberFormat="1" applyFont="1" applyFill="1" applyBorder="1" applyAlignment="1">
      <alignment horizontal="center" vertical="center"/>
    </xf>
    <xf numFmtId="3" fontId="10" fillId="7" borderId="54" xfId="0" applyNumberFormat="1" applyFont="1" applyFill="1" applyBorder="1" applyAlignment="1">
      <alignment horizontal="center" vertical="center"/>
    </xf>
    <xf numFmtId="3" fontId="10" fillId="7" borderId="56" xfId="0" applyNumberFormat="1" applyFont="1" applyFill="1" applyBorder="1" applyAlignment="1">
      <alignment horizontal="center" vertical="center"/>
    </xf>
    <xf numFmtId="3" fontId="10" fillId="7" borderId="57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 vertical="center"/>
    </xf>
    <xf numFmtId="9" fontId="0" fillId="4" borderId="17" xfId="0" applyNumberFormat="1" applyFill="1" applyBorder="1"/>
    <xf numFmtId="9" fontId="13" fillId="5" borderId="16" xfId="0" applyNumberFormat="1" applyFont="1" applyFill="1" applyBorder="1" applyAlignment="1">
      <alignment horizontal="center" vertical="center"/>
    </xf>
    <xf numFmtId="9" fontId="13" fillId="5" borderId="14" xfId="0" applyNumberFormat="1" applyFont="1" applyFill="1" applyBorder="1" applyAlignment="1">
      <alignment horizontal="center" vertical="center"/>
    </xf>
    <xf numFmtId="9" fontId="13" fillId="5" borderId="17" xfId="0" applyNumberFormat="1" applyFont="1" applyFill="1" applyBorder="1" applyAlignment="1">
      <alignment horizontal="center" vertical="center"/>
    </xf>
    <xf numFmtId="9" fontId="13" fillId="6" borderId="16" xfId="0" applyNumberFormat="1" applyFont="1" applyFill="1" applyBorder="1" applyAlignment="1">
      <alignment horizontal="center" vertical="center"/>
    </xf>
    <xf numFmtId="9" fontId="13" fillId="6" borderId="14" xfId="0" applyNumberFormat="1" applyFont="1" applyFill="1" applyBorder="1" applyAlignment="1">
      <alignment horizontal="center" vertical="center"/>
    </xf>
    <xf numFmtId="9" fontId="13" fillId="6" borderId="8" xfId="0" applyNumberFormat="1" applyFont="1" applyFill="1" applyBorder="1" applyAlignment="1">
      <alignment horizontal="center" vertical="center"/>
    </xf>
    <xf numFmtId="9" fontId="13" fillId="7" borderId="6" xfId="0" applyNumberFormat="1" applyFont="1" applyFill="1" applyBorder="1" applyAlignment="1">
      <alignment horizontal="center" vertical="center"/>
    </xf>
    <xf numFmtId="9" fontId="13" fillId="7" borderId="14" xfId="0" applyNumberFormat="1" applyFont="1" applyFill="1" applyBorder="1" applyAlignment="1">
      <alignment horizontal="center" vertical="center"/>
    </xf>
    <xf numFmtId="9" fontId="13" fillId="7" borderId="17" xfId="0" applyNumberFormat="1" applyFont="1" applyFill="1" applyBorder="1" applyAlignment="1">
      <alignment horizontal="center" vertical="center"/>
    </xf>
    <xf numFmtId="9" fontId="0" fillId="0" borderId="5" xfId="0" applyNumberFormat="1" applyBorder="1"/>
    <xf numFmtId="9" fontId="0" fillId="4" borderId="16" xfId="0" applyNumberFormat="1" applyFill="1" applyBorder="1"/>
    <xf numFmtId="9" fontId="0" fillId="4" borderId="14" xfId="0" applyNumberFormat="1" applyFill="1" applyBorder="1"/>
    <xf numFmtId="9" fontId="0" fillId="4" borderId="9" xfId="0" applyNumberFormat="1" applyFill="1" applyBorder="1"/>
    <xf numFmtId="9" fontId="0" fillId="4" borderId="10" xfId="0" applyNumberFormat="1" applyFill="1" applyBorder="1"/>
    <xf numFmtId="9" fontId="0" fillId="0" borderId="13" xfId="0" applyNumberFormat="1" applyBorder="1"/>
    <xf numFmtId="9" fontId="14" fillId="7" borderId="6" xfId="0" applyNumberFormat="1" applyFont="1" applyFill="1" applyBorder="1" applyAlignment="1">
      <alignment horizontal="center" vertical="center"/>
    </xf>
    <xf numFmtId="9" fontId="14" fillId="7" borderId="14" xfId="0" applyNumberFormat="1" applyFont="1" applyFill="1" applyBorder="1" applyAlignment="1">
      <alignment horizontal="center" vertical="center"/>
    </xf>
    <xf numFmtId="9" fontId="0" fillId="7" borderId="14" xfId="0" applyNumberFormat="1" applyFill="1" applyBorder="1"/>
    <xf numFmtId="9" fontId="0" fillId="7" borderId="17" xfId="0" applyNumberFormat="1" applyFill="1" applyBorder="1"/>
    <xf numFmtId="9" fontId="0" fillId="5" borderId="16" xfId="0" applyNumberFormat="1" applyFill="1" applyBorder="1"/>
    <xf numFmtId="9" fontId="0" fillId="5" borderId="14" xfId="0" applyNumberFormat="1" applyFill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13" xfId="0" applyNumberFormat="1" applyBorder="1"/>
    <xf numFmtId="3" fontId="3" fillId="3" borderId="33" xfId="0" applyNumberFormat="1" applyFont="1" applyFill="1" applyBorder="1" applyAlignment="1">
      <alignment horizontal="center" vertical="center"/>
    </xf>
    <xf numFmtId="3" fontId="3" fillId="3" borderId="35" xfId="0" applyNumberFormat="1" applyFont="1" applyFill="1" applyBorder="1" applyAlignment="1">
      <alignment horizontal="center" vertical="center"/>
    </xf>
    <xf numFmtId="3" fontId="0" fillId="8" borderId="0" xfId="0" applyNumberFormat="1" applyFill="1" applyAlignment="1">
      <alignment horizontal="center" vertical="center"/>
    </xf>
    <xf numFmtId="9" fontId="13" fillId="4" borderId="17" xfId="0" applyNumberFormat="1" applyFont="1" applyFill="1" applyBorder="1" applyAlignment="1">
      <alignment horizontal="center" vertical="center"/>
    </xf>
    <xf numFmtId="3" fontId="4" fillId="4" borderId="63" xfId="0" applyNumberFormat="1" applyFont="1" applyFill="1" applyBorder="1" applyAlignment="1">
      <alignment horizontal="center" vertical="center"/>
    </xf>
    <xf numFmtId="3" fontId="4" fillId="4" borderId="64" xfId="0" applyNumberFormat="1" applyFont="1" applyFill="1" applyBorder="1" applyAlignment="1">
      <alignment horizontal="center" vertical="center"/>
    </xf>
    <xf numFmtId="3" fontId="0" fillId="4" borderId="65" xfId="0" applyNumberFormat="1" applyFill="1" applyBorder="1"/>
    <xf numFmtId="3" fontId="13" fillId="5" borderId="63" xfId="0" applyNumberFormat="1" applyFont="1" applyFill="1" applyBorder="1" applyAlignment="1">
      <alignment horizontal="center" vertical="center"/>
    </xf>
    <xf numFmtId="3" fontId="4" fillId="5" borderId="64" xfId="0" applyNumberFormat="1" applyFont="1" applyFill="1" applyBorder="1" applyAlignment="1">
      <alignment horizontal="center" vertical="center"/>
    </xf>
    <xf numFmtId="3" fontId="13" fillId="5" borderId="64" xfId="0" applyNumberFormat="1" applyFont="1" applyFill="1" applyBorder="1" applyAlignment="1">
      <alignment horizontal="center" vertical="center"/>
    </xf>
    <xf numFmtId="3" fontId="13" fillId="5" borderId="65" xfId="0" applyNumberFormat="1" applyFont="1" applyFill="1" applyBorder="1" applyAlignment="1">
      <alignment horizontal="center" vertical="center"/>
    </xf>
    <xf numFmtId="3" fontId="13" fillId="6" borderId="63" xfId="0" applyNumberFormat="1" applyFont="1" applyFill="1" applyBorder="1" applyAlignment="1">
      <alignment horizontal="center" vertical="center"/>
    </xf>
    <xf numFmtId="3" fontId="13" fillId="6" borderId="64" xfId="0" applyNumberFormat="1" applyFont="1" applyFill="1" applyBorder="1" applyAlignment="1">
      <alignment horizontal="center" vertical="center"/>
    </xf>
    <xf numFmtId="3" fontId="13" fillId="6" borderId="44" xfId="0" applyNumberFormat="1" applyFont="1" applyFill="1" applyBorder="1" applyAlignment="1">
      <alignment horizontal="center" vertical="center"/>
    </xf>
    <xf numFmtId="3" fontId="13" fillId="7" borderId="62" xfId="0" applyNumberFormat="1" applyFont="1" applyFill="1" applyBorder="1" applyAlignment="1">
      <alignment horizontal="center" vertical="center"/>
    </xf>
    <xf numFmtId="3" fontId="13" fillId="7" borderId="64" xfId="0" applyNumberFormat="1" applyFont="1" applyFill="1" applyBorder="1" applyAlignment="1">
      <alignment horizontal="center" vertical="center"/>
    </xf>
    <xf numFmtId="3" fontId="13" fillId="7" borderId="65" xfId="0" applyNumberFormat="1" applyFont="1" applyFill="1" applyBorder="1" applyAlignment="1">
      <alignment horizontal="center" vertical="center"/>
    </xf>
    <xf numFmtId="3" fontId="3" fillId="3" borderId="66" xfId="0" applyNumberFormat="1" applyFont="1" applyFill="1" applyBorder="1" applyAlignment="1">
      <alignment horizontal="center" vertical="center"/>
    </xf>
    <xf numFmtId="3" fontId="10" fillId="4" borderId="10" xfId="0" applyNumberFormat="1" applyFont="1" applyFill="1" applyBorder="1" applyAlignment="1">
      <alignment horizontal="center" vertical="center"/>
    </xf>
    <xf numFmtId="9" fontId="10" fillId="4" borderId="10" xfId="0" applyNumberFormat="1" applyFont="1" applyFill="1" applyBorder="1" applyAlignment="1">
      <alignment horizontal="center" vertical="center"/>
    </xf>
    <xf numFmtId="10" fontId="10" fillId="4" borderId="10" xfId="0" applyNumberFormat="1" applyFont="1" applyFill="1" applyBorder="1" applyAlignment="1">
      <alignment horizontal="center" vertical="center"/>
    </xf>
    <xf numFmtId="10" fontId="10" fillId="4" borderId="16" xfId="0" applyNumberFormat="1" applyFont="1" applyFill="1" applyBorder="1" applyAlignment="1">
      <alignment horizontal="center" vertical="center"/>
    </xf>
    <xf numFmtId="9" fontId="10" fillId="4" borderId="16" xfId="0" applyNumberFormat="1" applyFont="1" applyFill="1" applyBorder="1" applyAlignment="1">
      <alignment horizontal="center" vertical="center"/>
    </xf>
    <xf numFmtId="3" fontId="6" fillId="3" borderId="72" xfId="0" applyNumberFormat="1" applyFont="1" applyFill="1" applyBorder="1" applyAlignment="1">
      <alignment horizontal="center" vertical="center"/>
    </xf>
    <xf numFmtId="3" fontId="3" fillId="3" borderId="72" xfId="0" applyNumberFormat="1" applyFont="1" applyFill="1" applyBorder="1" applyAlignment="1">
      <alignment horizontal="center" vertical="center"/>
    </xf>
    <xf numFmtId="3" fontId="3" fillId="3" borderId="73" xfId="0" applyNumberFormat="1" applyFont="1" applyFill="1" applyBorder="1" applyAlignment="1">
      <alignment horizontal="center" vertical="center"/>
    </xf>
    <xf numFmtId="3" fontId="6" fillId="3" borderId="74" xfId="0" applyNumberFormat="1" applyFont="1" applyFill="1" applyBorder="1" applyAlignment="1">
      <alignment horizontal="center" vertical="center"/>
    </xf>
    <xf numFmtId="3" fontId="12" fillId="3" borderId="52" xfId="0" applyNumberFormat="1" applyFont="1" applyFill="1" applyBorder="1" applyAlignment="1">
      <alignment horizontal="center" vertical="center" wrapText="1"/>
    </xf>
    <xf numFmtId="3" fontId="12" fillId="3" borderId="75" xfId="0" applyNumberFormat="1" applyFont="1" applyFill="1" applyBorder="1" applyAlignment="1">
      <alignment horizontal="center" vertical="center" wrapText="1"/>
    </xf>
    <xf numFmtId="3" fontId="12" fillId="3" borderId="76" xfId="0" applyNumberFormat="1" applyFont="1" applyFill="1" applyBorder="1" applyAlignment="1">
      <alignment horizontal="center" vertical="center" wrapText="1"/>
    </xf>
    <xf numFmtId="3" fontId="12" fillId="3" borderId="77" xfId="0" applyNumberFormat="1" applyFont="1" applyFill="1" applyBorder="1" applyAlignment="1">
      <alignment horizontal="center" vertical="center" wrapText="1"/>
    </xf>
    <xf numFmtId="3" fontId="0" fillId="4" borderId="39" xfId="0" applyNumberFormat="1" applyFill="1" applyBorder="1"/>
    <xf numFmtId="3" fontId="4" fillId="4" borderId="19" xfId="0" applyNumberFormat="1" applyFont="1" applyFill="1" applyBorder="1" applyAlignment="1">
      <alignment horizontal="center" vertical="center"/>
    </xf>
    <xf numFmtId="3" fontId="13" fillId="4" borderId="38" xfId="0" applyNumberFormat="1" applyFont="1" applyFill="1" applyBorder="1" applyAlignment="1">
      <alignment horizontal="center" vertical="center"/>
    </xf>
    <xf numFmtId="3" fontId="13" fillId="5" borderId="39" xfId="0" applyNumberFormat="1" applyFont="1" applyFill="1" applyBorder="1" applyAlignment="1">
      <alignment horizontal="center" vertical="center"/>
    </xf>
    <xf numFmtId="3" fontId="13" fillId="5" borderId="19" xfId="0" applyNumberFormat="1" applyFont="1" applyFill="1" applyBorder="1" applyAlignment="1">
      <alignment horizontal="center" vertical="center"/>
    </xf>
    <xf numFmtId="3" fontId="13" fillId="5" borderId="38" xfId="0" applyNumberFormat="1" applyFont="1" applyFill="1" applyBorder="1" applyAlignment="1">
      <alignment horizontal="center" vertical="center"/>
    </xf>
    <xf numFmtId="3" fontId="13" fillId="6" borderId="39" xfId="0" applyNumberFormat="1" applyFont="1" applyFill="1" applyBorder="1" applyAlignment="1">
      <alignment horizontal="center" vertical="center"/>
    </xf>
    <xf numFmtId="3" fontId="13" fillId="6" borderId="19" xfId="0" applyNumberFormat="1" applyFont="1" applyFill="1" applyBorder="1" applyAlignment="1">
      <alignment horizontal="center" vertical="center"/>
    </xf>
    <xf numFmtId="3" fontId="13" fillId="6" borderId="18" xfId="0" applyNumberFormat="1" applyFont="1" applyFill="1" applyBorder="1" applyAlignment="1">
      <alignment horizontal="center" vertical="center"/>
    </xf>
    <xf numFmtId="3" fontId="13" fillId="7" borderId="20" xfId="0" applyNumberFormat="1" applyFont="1" applyFill="1" applyBorder="1" applyAlignment="1">
      <alignment horizontal="center" vertical="center"/>
    </xf>
    <xf numFmtId="3" fontId="13" fillId="7" borderId="19" xfId="0" applyNumberFormat="1" applyFont="1" applyFill="1" applyBorder="1" applyAlignment="1">
      <alignment horizontal="center" vertical="center"/>
    </xf>
    <xf numFmtId="3" fontId="13" fillId="7" borderId="38" xfId="0" applyNumberFormat="1" applyFont="1" applyFill="1" applyBorder="1" applyAlignment="1">
      <alignment horizontal="center" vertical="center"/>
    </xf>
    <xf numFmtId="9" fontId="0" fillId="4" borderId="78" xfId="0" applyNumberFormat="1" applyFill="1" applyBorder="1"/>
    <xf numFmtId="9" fontId="0" fillId="4" borderId="79" xfId="0" applyNumberFormat="1" applyFill="1" applyBorder="1"/>
    <xf numFmtId="9" fontId="4" fillId="4" borderId="80" xfId="0" applyNumberFormat="1" applyFont="1" applyFill="1" applyBorder="1" applyAlignment="1">
      <alignment horizontal="center" vertical="center"/>
    </xf>
    <xf numFmtId="9" fontId="13" fillId="4" borderId="81" xfId="0" applyNumberFormat="1" applyFont="1" applyFill="1" applyBorder="1" applyAlignment="1">
      <alignment horizontal="center" vertical="center"/>
    </xf>
    <xf numFmtId="9" fontId="13" fillId="5" borderId="79" xfId="0" applyNumberFormat="1" applyFont="1" applyFill="1" applyBorder="1" applyAlignment="1">
      <alignment horizontal="center" vertical="center"/>
    </xf>
    <xf numFmtId="9" fontId="13" fillId="5" borderId="80" xfId="0" applyNumberFormat="1" applyFont="1" applyFill="1" applyBorder="1" applyAlignment="1">
      <alignment horizontal="center" vertical="center"/>
    </xf>
    <xf numFmtId="9" fontId="13" fillId="5" borderId="81" xfId="0" applyNumberFormat="1" applyFont="1" applyFill="1" applyBorder="1" applyAlignment="1">
      <alignment horizontal="center" vertical="center"/>
    </xf>
    <xf numFmtId="9" fontId="13" fillId="6" borderId="79" xfId="0" applyNumberFormat="1" applyFont="1" applyFill="1" applyBorder="1" applyAlignment="1">
      <alignment horizontal="center" vertical="center"/>
    </xf>
    <xf numFmtId="9" fontId="13" fillId="6" borderId="80" xfId="0" applyNumberFormat="1" applyFont="1" applyFill="1" applyBorder="1" applyAlignment="1">
      <alignment horizontal="center" vertical="center"/>
    </xf>
    <xf numFmtId="9" fontId="13" fillId="6" borderId="82" xfId="0" applyNumberFormat="1" applyFont="1" applyFill="1" applyBorder="1" applyAlignment="1">
      <alignment horizontal="center" vertical="center"/>
    </xf>
    <xf numFmtId="9" fontId="13" fillId="7" borderId="78" xfId="0" applyNumberFormat="1" applyFont="1" applyFill="1" applyBorder="1" applyAlignment="1">
      <alignment horizontal="center" vertical="center"/>
    </xf>
    <xf numFmtId="9" fontId="13" fillId="7" borderId="80" xfId="0" applyNumberFormat="1" applyFont="1" applyFill="1" applyBorder="1" applyAlignment="1">
      <alignment horizontal="center" vertical="center"/>
    </xf>
    <xf numFmtId="9" fontId="13" fillId="7" borderId="81" xfId="0" applyNumberFormat="1" applyFont="1" applyFill="1" applyBorder="1" applyAlignment="1">
      <alignment horizontal="center" vertical="center"/>
    </xf>
    <xf numFmtId="3" fontId="0" fillId="4" borderId="62" xfId="0" applyNumberFormat="1" applyFill="1" applyBorder="1"/>
    <xf numFmtId="3" fontId="0" fillId="4" borderId="63" xfId="0" applyNumberFormat="1" applyFill="1" applyBorder="1"/>
    <xf numFmtId="3" fontId="13" fillId="4" borderId="65" xfId="0" applyNumberFormat="1" applyFont="1" applyFill="1" applyBorder="1" applyAlignment="1">
      <alignment horizontal="center" vertical="center"/>
    </xf>
    <xf numFmtId="3" fontId="13" fillId="5" borderId="83" xfId="0" applyNumberFormat="1" applyFont="1" applyFill="1" applyBorder="1" applyAlignment="1">
      <alignment horizontal="center" vertical="center"/>
    </xf>
    <xf numFmtId="3" fontId="13" fillId="5" borderId="84" xfId="0" applyNumberFormat="1" applyFont="1" applyFill="1" applyBorder="1" applyAlignment="1">
      <alignment horizontal="center" vertical="center"/>
    </xf>
    <xf numFmtId="3" fontId="13" fillId="5" borderId="85" xfId="0" applyNumberFormat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0" fillId="4" borderId="30" xfId="0" applyFill="1" applyBorder="1"/>
    <xf numFmtId="0" fontId="0" fillId="4" borderId="29" xfId="0" applyFill="1" applyBorder="1"/>
    <xf numFmtId="0" fontId="14" fillId="7" borderId="31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0" fillId="7" borderId="28" xfId="0" applyFill="1" applyBorder="1"/>
    <xf numFmtId="0" fontId="0" fillId="7" borderId="29" xfId="0" applyFill="1" applyBorder="1"/>
    <xf numFmtId="9" fontId="0" fillId="4" borderId="80" xfId="0" applyNumberFormat="1" applyFill="1" applyBorder="1"/>
    <xf numFmtId="9" fontId="0" fillId="4" borderId="81" xfId="0" applyNumberFormat="1" applyFill="1" applyBorder="1"/>
    <xf numFmtId="3" fontId="0" fillId="4" borderId="83" xfId="0" applyNumberFormat="1" applyFill="1" applyBorder="1"/>
    <xf numFmtId="3" fontId="13" fillId="6" borderId="83" xfId="0" applyNumberFormat="1" applyFont="1" applyFill="1" applyBorder="1" applyAlignment="1">
      <alignment horizontal="center" vertical="center"/>
    </xf>
    <xf numFmtId="3" fontId="13" fillId="6" borderId="84" xfId="0" applyNumberFormat="1" applyFont="1" applyFill="1" applyBorder="1" applyAlignment="1">
      <alignment horizontal="center" vertical="center"/>
    </xf>
    <xf numFmtId="3" fontId="13" fillId="7" borderId="84" xfId="0" applyNumberFormat="1" applyFont="1" applyFill="1" applyBorder="1" applyAlignment="1">
      <alignment horizontal="center" vertical="center"/>
    </xf>
    <xf numFmtId="3" fontId="13" fillId="7" borderId="85" xfId="0" applyNumberFormat="1" applyFont="1" applyFill="1" applyBorder="1" applyAlignment="1">
      <alignment horizontal="center" vertical="center"/>
    </xf>
    <xf numFmtId="3" fontId="0" fillId="4" borderId="30" xfId="0" applyNumberFormat="1" applyFill="1" applyBorder="1"/>
    <xf numFmtId="3" fontId="0" fillId="4" borderId="28" xfId="0" applyNumberFormat="1" applyFill="1" applyBorder="1"/>
    <xf numFmtId="3" fontId="0" fillId="4" borderId="29" xfId="0" applyNumberFormat="1" applyFill="1" applyBorder="1"/>
    <xf numFmtId="3" fontId="13" fillId="5" borderId="30" xfId="0" applyNumberFormat="1" applyFont="1" applyFill="1" applyBorder="1" applyAlignment="1">
      <alignment horizontal="center" vertical="center"/>
    </xf>
    <xf numFmtId="3" fontId="4" fillId="5" borderId="28" xfId="0" applyNumberFormat="1" applyFont="1" applyFill="1" applyBorder="1" applyAlignment="1">
      <alignment horizontal="center" vertical="center"/>
    </xf>
    <xf numFmtId="3" fontId="13" fillId="5" borderId="28" xfId="0" applyNumberFormat="1" applyFont="1" applyFill="1" applyBorder="1" applyAlignment="1">
      <alignment horizontal="center" vertical="center"/>
    </xf>
    <xf numFmtId="3" fontId="13" fillId="5" borderId="29" xfId="0" applyNumberFormat="1" applyFont="1" applyFill="1" applyBorder="1" applyAlignment="1">
      <alignment horizontal="center" vertical="center"/>
    </xf>
    <xf numFmtId="3" fontId="13" fillId="6" borderId="30" xfId="0" applyNumberFormat="1" applyFont="1" applyFill="1" applyBorder="1" applyAlignment="1">
      <alignment horizontal="center" vertical="center"/>
    </xf>
    <xf numFmtId="3" fontId="13" fillId="6" borderId="28" xfId="0" applyNumberFormat="1" applyFont="1" applyFill="1" applyBorder="1" applyAlignment="1">
      <alignment horizontal="center" vertical="center"/>
    </xf>
    <xf numFmtId="3" fontId="13" fillId="6" borderId="15" xfId="0" applyNumberFormat="1" applyFont="1" applyFill="1" applyBorder="1" applyAlignment="1">
      <alignment horizontal="center" vertical="center"/>
    </xf>
    <xf numFmtId="3" fontId="13" fillId="7" borderId="31" xfId="0" applyNumberFormat="1" applyFont="1" applyFill="1" applyBorder="1" applyAlignment="1">
      <alignment horizontal="center" vertical="center"/>
    </xf>
    <xf numFmtId="3" fontId="13" fillId="7" borderId="28" xfId="0" applyNumberFormat="1" applyFont="1" applyFill="1" applyBorder="1" applyAlignment="1">
      <alignment horizontal="center" vertical="center"/>
    </xf>
    <xf numFmtId="3" fontId="13" fillId="7" borderId="29" xfId="0" applyNumberFormat="1" applyFont="1" applyFill="1" applyBorder="1" applyAlignment="1">
      <alignment horizontal="center" vertical="center"/>
    </xf>
    <xf numFmtId="3" fontId="12" fillId="3" borderId="89" xfId="0" applyNumberFormat="1" applyFont="1" applyFill="1" applyBorder="1" applyAlignment="1">
      <alignment horizontal="center" vertical="center"/>
    </xf>
    <xf numFmtId="3" fontId="12" fillId="3" borderId="90" xfId="0" applyNumberFormat="1" applyFont="1" applyFill="1" applyBorder="1" applyAlignment="1">
      <alignment horizontal="center" vertical="center"/>
    </xf>
    <xf numFmtId="3" fontId="12" fillId="3" borderId="88" xfId="0" applyNumberFormat="1" applyFont="1" applyFill="1" applyBorder="1" applyAlignment="1">
      <alignment horizontal="center" vertical="center" wrapText="1"/>
    </xf>
    <xf numFmtId="3" fontId="12" fillId="3" borderId="40" xfId="0" applyNumberFormat="1" applyFont="1" applyFill="1" applyBorder="1" applyAlignment="1">
      <alignment horizontal="center" vertical="center" wrapText="1"/>
    </xf>
    <xf numFmtId="9" fontId="4" fillId="4" borderId="30" xfId="0" applyNumberFormat="1" applyFont="1" applyFill="1" applyBorder="1" applyAlignment="1">
      <alignment horizontal="center" vertical="center"/>
    </xf>
    <xf numFmtId="9" fontId="3" fillId="3" borderId="35" xfId="0" applyNumberFormat="1" applyFont="1" applyFill="1" applyBorder="1" applyAlignment="1">
      <alignment horizontal="center" vertical="center"/>
    </xf>
    <xf numFmtId="9" fontId="3" fillId="3" borderId="73" xfId="0" applyNumberFormat="1" applyFont="1" applyFill="1" applyBorder="1" applyAlignment="1">
      <alignment horizontal="center" vertical="center"/>
    </xf>
    <xf numFmtId="9" fontId="4" fillId="4" borderId="0" xfId="0" applyNumberFormat="1" applyFont="1" applyFill="1" applyBorder="1" applyAlignment="1">
      <alignment horizontal="center" vertical="center"/>
    </xf>
    <xf numFmtId="9" fontId="4" fillId="4" borderId="28" xfId="0" applyNumberFormat="1" applyFont="1" applyFill="1" applyBorder="1" applyAlignment="1">
      <alignment horizontal="center" vertical="center"/>
    </xf>
    <xf numFmtId="9" fontId="4" fillId="4" borderId="29" xfId="0" applyNumberFormat="1" applyFont="1" applyFill="1" applyBorder="1" applyAlignment="1">
      <alignment horizontal="center" vertical="center"/>
    </xf>
    <xf numFmtId="9" fontId="4" fillId="5" borderId="30" xfId="0" applyNumberFormat="1" applyFont="1" applyFill="1" applyBorder="1" applyAlignment="1">
      <alignment horizontal="center" vertical="center"/>
    </xf>
    <xf numFmtId="9" fontId="4" fillId="5" borderId="28" xfId="0" applyNumberFormat="1" applyFont="1" applyFill="1" applyBorder="1" applyAlignment="1">
      <alignment horizontal="center" vertical="center"/>
    </xf>
    <xf numFmtId="9" fontId="4" fillId="5" borderId="29" xfId="0" applyNumberFormat="1" applyFont="1" applyFill="1" applyBorder="1" applyAlignment="1">
      <alignment horizontal="center" vertical="center"/>
    </xf>
    <xf numFmtId="9" fontId="4" fillId="6" borderId="30" xfId="0" applyNumberFormat="1" applyFont="1" applyFill="1" applyBorder="1" applyAlignment="1">
      <alignment horizontal="center" vertical="center"/>
    </xf>
    <xf numFmtId="9" fontId="4" fillId="6" borderId="28" xfId="0" applyNumberFormat="1" applyFont="1" applyFill="1" applyBorder="1" applyAlignment="1">
      <alignment horizontal="center" vertical="center"/>
    </xf>
    <xf numFmtId="9" fontId="4" fillId="6" borderId="15" xfId="0" applyNumberFormat="1" applyFont="1" applyFill="1" applyBorder="1" applyAlignment="1">
      <alignment horizontal="center" vertical="center"/>
    </xf>
    <xf numFmtId="9" fontId="4" fillId="7" borderId="31" xfId="0" applyNumberFormat="1" applyFont="1" applyFill="1" applyBorder="1" applyAlignment="1">
      <alignment horizontal="center" vertical="center"/>
    </xf>
    <xf numFmtId="9" fontId="4" fillId="7" borderId="28" xfId="0" applyNumberFormat="1" applyFont="1" applyFill="1" applyBorder="1" applyAlignment="1">
      <alignment horizontal="center" vertical="center"/>
    </xf>
    <xf numFmtId="9" fontId="4" fillId="7" borderId="29" xfId="0" applyNumberFormat="1" applyFont="1" applyFill="1" applyBorder="1" applyAlignment="1">
      <alignment horizontal="center" vertical="center"/>
    </xf>
    <xf numFmtId="3" fontId="4" fillId="7" borderId="22" xfId="0" applyNumberFormat="1" applyFont="1" applyFill="1" applyBorder="1" applyAlignment="1">
      <alignment horizontal="center" vertical="center"/>
    </xf>
    <xf numFmtId="3" fontId="13" fillId="7" borderId="26" xfId="0" applyNumberFormat="1" applyFont="1" applyFill="1" applyBorder="1" applyAlignment="1">
      <alignment horizontal="center" vertical="center"/>
    </xf>
    <xf numFmtId="3" fontId="14" fillId="8" borderId="0" xfId="0" applyNumberFormat="1" applyFont="1" applyFill="1" applyAlignment="1">
      <alignment horizontal="center" vertical="center"/>
    </xf>
    <xf numFmtId="10" fontId="3" fillId="3" borderId="35" xfId="0" applyNumberFormat="1" applyFont="1" applyFill="1" applyBorder="1" applyAlignment="1">
      <alignment horizontal="center" vertical="center"/>
    </xf>
    <xf numFmtId="10" fontId="3" fillId="3" borderId="33" xfId="0" applyNumberFormat="1" applyFont="1" applyFill="1" applyBorder="1" applyAlignment="1">
      <alignment horizontal="center" vertical="center"/>
    </xf>
    <xf numFmtId="10" fontId="3" fillId="3" borderId="35" xfId="0" applyNumberFormat="1" applyFont="1" applyFill="1" applyBorder="1" applyAlignment="1">
      <alignment horizontal="left" vertical="center"/>
    </xf>
    <xf numFmtId="10" fontId="6" fillId="3" borderId="37" xfId="0" applyNumberFormat="1" applyFont="1" applyFill="1" applyBorder="1" applyAlignment="1">
      <alignment horizontal="center" vertical="center"/>
    </xf>
    <xf numFmtId="10" fontId="3" fillId="3" borderId="66" xfId="0" applyNumberFormat="1" applyFont="1" applyFill="1" applyBorder="1" applyAlignment="1">
      <alignment horizontal="center" vertical="center"/>
    </xf>
    <xf numFmtId="10" fontId="0" fillId="8" borderId="0" xfId="0" applyNumberFormat="1" applyFill="1"/>
    <xf numFmtId="3" fontId="11" fillId="4" borderId="39" xfId="0" applyNumberFormat="1" applyFont="1" applyFill="1" applyBorder="1" applyAlignment="1">
      <alignment horizontal="center" vertical="center"/>
    </xf>
    <xf numFmtId="3" fontId="11" fillId="4" borderId="19" xfId="0" applyNumberFormat="1" applyFont="1" applyFill="1" applyBorder="1" applyAlignment="1">
      <alignment horizontal="center" vertical="center"/>
    </xf>
    <xf numFmtId="3" fontId="11" fillId="4" borderId="38" xfId="0" applyNumberFormat="1" applyFont="1" applyFill="1" applyBorder="1" applyAlignment="1">
      <alignment horizontal="center" vertical="center"/>
    </xf>
    <xf numFmtId="3" fontId="11" fillId="5" borderId="39" xfId="0" applyNumberFormat="1" applyFont="1" applyFill="1" applyBorder="1" applyAlignment="1">
      <alignment horizontal="center" vertical="center"/>
    </xf>
    <xf numFmtId="3" fontId="11" fillId="5" borderId="19" xfId="0" applyNumberFormat="1" applyFont="1" applyFill="1" applyBorder="1" applyAlignment="1">
      <alignment horizontal="center" vertical="center"/>
    </xf>
    <xf numFmtId="3" fontId="11" fillId="5" borderId="38" xfId="0" applyNumberFormat="1" applyFont="1" applyFill="1" applyBorder="1" applyAlignment="1">
      <alignment horizontal="center" vertical="center"/>
    </xf>
    <xf numFmtId="3" fontId="11" fillId="6" borderId="39" xfId="0" applyNumberFormat="1" applyFont="1" applyFill="1" applyBorder="1" applyAlignment="1">
      <alignment horizontal="center" vertical="center"/>
    </xf>
    <xf numFmtId="3" fontId="11" fillId="6" borderId="19" xfId="0" applyNumberFormat="1" applyFont="1" applyFill="1" applyBorder="1" applyAlignment="1">
      <alignment horizontal="center" vertical="center"/>
    </xf>
    <xf numFmtId="3" fontId="11" fillId="6" borderId="18" xfId="0" applyNumberFormat="1" applyFont="1" applyFill="1" applyBorder="1" applyAlignment="1">
      <alignment horizontal="center" vertical="center"/>
    </xf>
    <xf numFmtId="3" fontId="11" fillId="7" borderId="20" xfId="0" applyNumberFormat="1" applyFont="1" applyFill="1" applyBorder="1" applyAlignment="1">
      <alignment horizontal="center" vertical="center"/>
    </xf>
    <xf numFmtId="3" fontId="11" fillId="7" borderId="19" xfId="0" applyNumberFormat="1" applyFont="1" applyFill="1" applyBorder="1" applyAlignment="1">
      <alignment horizontal="center" vertical="center"/>
    </xf>
    <xf numFmtId="3" fontId="11" fillId="7" borderId="38" xfId="0" applyNumberFormat="1" applyFont="1" applyFill="1" applyBorder="1" applyAlignment="1">
      <alignment horizontal="center" vertical="center"/>
    </xf>
    <xf numFmtId="3" fontId="16" fillId="0" borderId="0" xfId="0" applyNumberFormat="1" applyFont="1" applyBorder="1"/>
    <xf numFmtId="0" fontId="1" fillId="0" borderId="0" xfId="0" applyFont="1" applyBorder="1"/>
    <xf numFmtId="0" fontId="3" fillId="3" borderId="92" xfId="0" applyFont="1" applyFill="1" applyBorder="1" applyAlignment="1">
      <alignment horizontal="left" vertical="center"/>
    </xf>
    <xf numFmtId="0" fontId="3" fillId="3" borderId="93" xfId="0" applyFont="1" applyFill="1" applyBorder="1" applyAlignment="1">
      <alignment horizontal="left" vertical="center" wrapText="1"/>
    </xf>
    <xf numFmtId="0" fontId="3" fillId="3" borderId="93" xfId="0" applyFont="1" applyFill="1" applyBorder="1" applyAlignment="1">
      <alignment horizontal="center" vertical="center"/>
    </xf>
    <xf numFmtId="10" fontId="3" fillId="3" borderId="93" xfId="0" applyNumberFormat="1" applyFont="1" applyFill="1" applyBorder="1" applyAlignment="1">
      <alignment horizontal="center" vertical="center"/>
    </xf>
    <xf numFmtId="3" fontId="3" fillId="3" borderId="93" xfId="0" applyNumberFormat="1" applyFont="1" applyFill="1" applyBorder="1" applyAlignment="1">
      <alignment horizontal="center" vertical="center"/>
    </xf>
    <xf numFmtId="3" fontId="3" fillId="3" borderId="94" xfId="0" applyNumberFormat="1" applyFont="1" applyFill="1" applyBorder="1" applyAlignment="1">
      <alignment horizontal="center" vertical="center"/>
    </xf>
    <xf numFmtId="0" fontId="12" fillId="4" borderId="95" xfId="0" applyFont="1" applyFill="1" applyBorder="1" applyAlignment="1">
      <alignment horizontal="center" vertical="center"/>
    </xf>
    <xf numFmtId="0" fontId="12" fillId="4" borderId="93" xfId="0" applyFont="1" applyFill="1" applyBorder="1" applyAlignment="1">
      <alignment horizontal="center" vertical="center"/>
    </xf>
    <xf numFmtId="0" fontId="12" fillId="4" borderId="96" xfId="0" applyFont="1" applyFill="1" applyBorder="1" applyAlignment="1">
      <alignment horizontal="center" vertical="center"/>
    </xf>
    <xf numFmtId="0" fontId="12" fillId="4" borderId="97" xfId="0" applyFont="1" applyFill="1" applyBorder="1" applyAlignment="1">
      <alignment horizontal="center" vertical="center"/>
    </xf>
    <xf numFmtId="0" fontId="12" fillId="5" borderId="95" xfId="0" applyFont="1" applyFill="1" applyBorder="1" applyAlignment="1">
      <alignment horizontal="center" vertical="center"/>
    </xf>
    <xf numFmtId="0" fontId="12" fillId="5" borderId="96" xfId="0" applyFont="1" applyFill="1" applyBorder="1" applyAlignment="1">
      <alignment horizontal="center" vertical="center"/>
    </xf>
    <xf numFmtId="0" fontId="12" fillId="5" borderId="97" xfId="0" applyFont="1" applyFill="1" applyBorder="1" applyAlignment="1">
      <alignment horizontal="center" vertical="center"/>
    </xf>
    <xf numFmtId="0" fontId="12" fillId="6" borderId="95" xfId="0" applyFont="1" applyFill="1" applyBorder="1" applyAlignment="1">
      <alignment horizontal="center" vertical="center"/>
    </xf>
    <xf numFmtId="0" fontId="12" fillId="6" borderId="96" xfId="0" applyFont="1" applyFill="1" applyBorder="1" applyAlignment="1">
      <alignment horizontal="center" vertical="center"/>
    </xf>
    <xf numFmtId="0" fontId="12" fillId="6" borderId="98" xfId="0" applyFont="1" applyFill="1" applyBorder="1" applyAlignment="1">
      <alignment horizontal="center" vertical="center"/>
    </xf>
    <xf numFmtId="0" fontId="12" fillId="7" borderId="99" xfId="0" applyFont="1" applyFill="1" applyBorder="1" applyAlignment="1">
      <alignment horizontal="center" vertical="center"/>
    </xf>
    <xf numFmtId="0" fontId="12" fillId="7" borderId="96" xfId="0" applyFont="1" applyFill="1" applyBorder="1" applyAlignment="1">
      <alignment horizontal="center" vertical="center"/>
    </xf>
    <xf numFmtId="0" fontId="12" fillId="7" borderId="97" xfId="0" applyFont="1" applyFill="1" applyBorder="1" applyAlignment="1">
      <alignment horizontal="center" vertical="center"/>
    </xf>
    <xf numFmtId="1" fontId="3" fillId="3" borderId="93" xfId="0" applyNumberFormat="1" applyFont="1" applyFill="1" applyBorder="1" applyAlignment="1">
      <alignment horizontal="center" vertical="center"/>
    </xf>
    <xf numFmtId="1" fontId="3" fillId="3" borderId="35" xfId="0" applyNumberFormat="1" applyFont="1" applyFill="1" applyBorder="1" applyAlignment="1">
      <alignment horizontal="center" vertical="center"/>
    </xf>
    <xf numFmtId="1" fontId="6" fillId="3" borderId="33" xfId="0" applyNumberFormat="1" applyFont="1" applyFill="1" applyBorder="1" applyAlignment="1">
      <alignment horizontal="center" vertical="center"/>
    </xf>
    <xf numFmtId="1" fontId="3" fillId="3" borderId="33" xfId="0" applyNumberFormat="1" applyFont="1" applyFill="1" applyBorder="1" applyAlignment="1">
      <alignment horizontal="center" vertical="center"/>
    </xf>
    <xf numFmtId="1" fontId="3" fillId="3" borderId="35" xfId="0" applyNumberFormat="1" applyFont="1" applyFill="1" applyBorder="1" applyAlignment="1">
      <alignment horizontal="left" vertical="center"/>
    </xf>
    <xf numFmtId="1" fontId="6" fillId="3" borderId="37" xfId="0" applyNumberFormat="1" applyFont="1" applyFill="1" applyBorder="1" applyAlignment="1">
      <alignment horizontal="center" vertical="center"/>
    </xf>
    <xf numFmtId="1" fontId="0" fillId="8" borderId="0" xfId="0" applyNumberFormat="1" applyFill="1"/>
    <xf numFmtId="0" fontId="0" fillId="4" borderId="21" xfId="0" applyFill="1" applyBorder="1"/>
    <xf numFmtId="0" fontId="0" fillId="4" borderId="100" xfId="0" applyFill="1" applyBorder="1"/>
    <xf numFmtId="0" fontId="0" fillId="4" borderId="101" xfId="0" applyFill="1" applyBorder="1"/>
    <xf numFmtId="0" fontId="0" fillId="4" borderId="102" xfId="0" applyFill="1" applyBorder="1"/>
    <xf numFmtId="0" fontId="13" fillId="5" borderId="100" xfId="0" applyFont="1" applyFill="1" applyBorder="1" applyAlignment="1">
      <alignment horizontal="center" vertical="center"/>
    </xf>
    <xf numFmtId="0" fontId="13" fillId="5" borderId="101" xfId="0" applyFont="1" applyFill="1" applyBorder="1" applyAlignment="1">
      <alignment horizontal="center" vertical="center"/>
    </xf>
    <xf numFmtId="0" fontId="13" fillId="5" borderId="102" xfId="0" applyFont="1" applyFill="1" applyBorder="1" applyAlignment="1">
      <alignment horizontal="center" vertical="center"/>
    </xf>
    <xf numFmtId="0" fontId="13" fillId="6" borderId="100" xfId="0" applyFont="1" applyFill="1" applyBorder="1" applyAlignment="1">
      <alignment horizontal="center" vertical="center"/>
    </xf>
    <xf numFmtId="0" fontId="13" fillId="6" borderId="101" xfId="0" applyFont="1" applyFill="1" applyBorder="1" applyAlignment="1">
      <alignment horizontal="center" vertical="center"/>
    </xf>
    <xf numFmtId="3" fontId="13" fillId="6" borderId="101" xfId="0" applyNumberFormat="1" applyFont="1" applyFill="1" applyBorder="1" applyAlignment="1">
      <alignment horizontal="center" vertical="center"/>
    </xf>
    <xf numFmtId="3" fontId="4" fillId="6" borderId="101" xfId="0" applyNumberFormat="1" applyFont="1" applyFill="1" applyBorder="1" applyAlignment="1">
      <alignment horizontal="center" vertical="center"/>
    </xf>
    <xf numFmtId="3" fontId="4" fillId="6" borderId="103" xfId="0" applyNumberFormat="1" applyFont="1" applyFill="1" applyBorder="1" applyAlignment="1">
      <alignment horizontal="center" vertical="center"/>
    </xf>
    <xf numFmtId="3" fontId="4" fillId="7" borderId="21" xfId="0" applyNumberFormat="1" applyFont="1" applyFill="1" applyBorder="1" applyAlignment="1">
      <alignment horizontal="center" vertical="center"/>
    </xf>
    <xf numFmtId="3" fontId="13" fillId="7" borderId="101" xfId="0" applyNumberFormat="1" applyFont="1" applyFill="1" applyBorder="1" applyAlignment="1">
      <alignment horizontal="center" vertical="center"/>
    </xf>
    <xf numFmtId="3" fontId="4" fillId="7" borderId="101" xfId="0" applyNumberFormat="1" applyFont="1" applyFill="1" applyBorder="1" applyAlignment="1">
      <alignment horizontal="center" vertical="center"/>
    </xf>
    <xf numFmtId="3" fontId="13" fillId="7" borderId="102" xfId="0" applyNumberFormat="1" applyFont="1" applyFill="1" applyBorder="1" applyAlignment="1">
      <alignment horizontal="center" vertical="center"/>
    </xf>
    <xf numFmtId="3" fontId="3" fillId="3" borderId="104" xfId="0" applyNumberFormat="1" applyFont="1" applyFill="1" applyBorder="1" applyAlignment="1">
      <alignment horizontal="left" vertical="center"/>
    </xf>
    <xf numFmtId="3" fontId="12" fillId="3" borderId="73" xfId="0" applyNumberFormat="1" applyFont="1" applyFill="1" applyBorder="1" applyAlignment="1">
      <alignment horizontal="center" vertical="center"/>
    </xf>
    <xf numFmtId="1" fontId="3" fillId="9" borderId="66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9" fontId="4" fillId="5" borderId="80" xfId="0" applyNumberFormat="1" applyFont="1" applyFill="1" applyBorder="1" applyAlignment="1">
      <alignment horizontal="center" vertical="center"/>
    </xf>
    <xf numFmtId="3" fontId="4" fillId="4" borderId="28" xfId="0" applyNumberFormat="1" applyFont="1" applyFill="1" applyBorder="1" applyAlignment="1">
      <alignment horizontal="center" vertical="center"/>
    </xf>
    <xf numFmtId="3" fontId="13" fillId="4" borderId="29" xfId="0" applyNumberFormat="1" applyFont="1" applyFill="1" applyBorder="1" applyAlignment="1">
      <alignment horizontal="center" vertical="center"/>
    </xf>
    <xf numFmtId="3" fontId="0" fillId="4" borderId="87" xfId="0" applyNumberFormat="1" applyFill="1" applyBorder="1"/>
    <xf numFmtId="0" fontId="0" fillId="4" borderId="39" xfId="0" applyFill="1" applyBorder="1"/>
    <xf numFmtId="0" fontId="0" fillId="4" borderId="19" xfId="0" applyFill="1" applyBorder="1"/>
    <xf numFmtId="0" fontId="0" fillId="4" borderId="38" xfId="0" applyFill="1" applyBorder="1"/>
    <xf numFmtId="0" fontId="13" fillId="5" borderId="39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/>
    </xf>
    <xf numFmtId="9" fontId="4" fillId="6" borderId="80" xfId="0" applyNumberFormat="1" applyFont="1" applyFill="1" applyBorder="1" applyAlignment="1">
      <alignment horizontal="center" vertical="center"/>
    </xf>
    <xf numFmtId="9" fontId="4" fillId="6" borderId="82" xfId="0" applyNumberFormat="1" applyFont="1" applyFill="1" applyBorder="1" applyAlignment="1">
      <alignment horizontal="center" vertical="center"/>
    </xf>
    <xf numFmtId="9" fontId="4" fillId="7" borderId="78" xfId="0" applyNumberFormat="1" applyFont="1" applyFill="1" applyBorder="1" applyAlignment="1">
      <alignment horizontal="center" vertical="center"/>
    </xf>
    <xf numFmtId="0" fontId="0" fillId="4" borderId="62" xfId="0" applyFill="1" applyBorder="1"/>
    <xf numFmtId="0" fontId="0" fillId="4" borderId="63" xfId="0" applyFill="1" applyBorder="1"/>
    <xf numFmtId="0" fontId="0" fillId="4" borderId="64" xfId="0" applyFill="1" applyBorder="1"/>
    <xf numFmtId="0" fontId="0" fillId="4" borderId="65" xfId="0" applyFill="1" applyBorder="1"/>
    <xf numFmtId="0" fontId="13" fillId="5" borderId="63" xfId="0" applyFont="1" applyFill="1" applyBorder="1" applyAlignment="1">
      <alignment horizontal="center" vertical="center"/>
    </xf>
    <xf numFmtId="0" fontId="13" fillId="5" borderId="64" xfId="0" applyFont="1" applyFill="1" applyBorder="1" applyAlignment="1">
      <alignment horizontal="center" vertical="center"/>
    </xf>
    <xf numFmtId="3" fontId="4" fillId="6" borderId="84" xfId="0" applyNumberFormat="1" applyFont="1" applyFill="1" applyBorder="1" applyAlignment="1">
      <alignment horizontal="center" vertical="center"/>
    </xf>
    <xf numFmtId="3" fontId="4" fillId="6" borderId="86" xfId="0" applyNumberFormat="1" applyFont="1" applyFill="1" applyBorder="1" applyAlignment="1">
      <alignment horizontal="center" vertical="center"/>
    </xf>
    <xf numFmtId="3" fontId="4" fillId="7" borderId="87" xfId="0" applyNumberFormat="1" applyFont="1" applyFill="1" applyBorder="1" applyAlignment="1">
      <alignment horizontal="center" vertical="center"/>
    </xf>
    <xf numFmtId="0" fontId="13" fillId="7" borderId="64" xfId="0" applyFont="1" applyFill="1" applyBorder="1" applyAlignment="1">
      <alignment horizontal="center" vertical="center"/>
    </xf>
    <xf numFmtId="0" fontId="13" fillId="7" borderId="65" xfId="0" applyFont="1" applyFill="1" applyBorder="1" applyAlignment="1">
      <alignment horizontal="center" vertical="center"/>
    </xf>
    <xf numFmtId="0" fontId="0" fillId="4" borderId="28" xfId="0" applyFill="1" applyBorder="1"/>
    <xf numFmtId="0" fontId="0" fillId="5" borderId="30" xfId="0" applyFill="1" applyBorder="1"/>
    <xf numFmtId="0" fontId="4" fillId="5" borderId="28" xfId="0" applyFont="1" applyFill="1" applyBorder="1" applyAlignment="1">
      <alignment horizontal="center" vertical="center"/>
    </xf>
    <xf numFmtId="0" fontId="0" fillId="5" borderId="28" xfId="0" applyFill="1" applyBorder="1"/>
    <xf numFmtId="0" fontId="14" fillId="5" borderId="28" xfId="0" applyFont="1" applyFill="1" applyBorder="1" applyAlignment="1">
      <alignment horizontal="center" vertical="center"/>
    </xf>
    <xf numFmtId="3" fontId="4" fillId="6" borderId="19" xfId="0" applyNumberFormat="1" applyFont="1" applyFill="1" applyBorder="1" applyAlignment="1">
      <alignment horizontal="center" vertical="center"/>
    </xf>
    <xf numFmtId="3" fontId="4" fillId="6" borderId="18" xfId="0" applyNumberFormat="1" applyFont="1" applyFill="1" applyBorder="1" applyAlignment="1">
      <alignment horizontal="center" vertical="center"/>
    </xf>
    <xf numFmtId="3" fontId="4" fillId="7" borderId="20" xfId="0" applyNumberFormat="1" applyFont="1" applyFill="1" applyBorder="1" applyAlignment="1">
      <alignment horizontal="center" vertical="center"/>
    </xf>
    <xf numFmtId="9" fontId="4" fillId="7" borderId="80" xfId="0" applyNumberFormat="1" applyFont="1" applyFill="1" applyBorder="1" applyAlignment="1">
      <alignment horizontal="center" vertical="center"/>
    </xf>
    <xf numFmtId="0" fontId="0" fillId="4" borderId="87" xfId="0" applyFill="1" applyBorder="1"/>
    <xf numFmtId="0" fontId="0" fillId="4" borderId="83" xfId="0" applyFill="1" applyBorder="1"/>
    <xf numFmtId="0" fontId="0" fillId="4" borderId="84" xfId="0" applyFill="1" applyBorder="1"/>
    <xf numFmtId="0" fontId="0" fillId="4" borderId="85" xfId="0" applyFill="1" applyBorder="1"/>
    <xf numFmtId="0" fontId="13" fillId="5" borderId="83" xfId="0" applyFont="1" applyFill="1" applyBorder="1" applyAlignment="1">
      <alignment horizontal="center" vertical="center"/>
    </xf>
    <xf numFmtId="0" fontId="13" fillId="5" borderId="84" xfId="0" applyFont="1" applyFill="1" applyBorder="1" applyAlignment="1">
      <alignment horizontal="center" vertical="center"/>
    </xf>
    <xf numFmtId="3" fontId="4" fillId="7" borderId="84" xfId="0" applyNumberFormat="1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3" fillId="5" borderId="85" xfId="0" applyFont="1" applyFill="1" applyBorder="1" applyAlignment="1">
      <alignment horizontal="center" vertical="center"/>
    </xf>
    <xf numFmtId="0" fontId="13" fillId="6" borderId="83" xfId="0" applyFont="1" applyFill="1" applyBorder="1" applyAlignment="1">
      <alignment horizontal="center" vertical="center"/>
    </xf>
    <xf numFmtId="0" fontId="13" fillId="6" borderId="84" xfId="0" applyFont="1" applyFill="1" applyBorder="1" applyAlignment="1">
      <alignment horizontal="center" vertical="center"/>
    </xf>
    <xf numFmtId="0" fontId="4" fillId="7" borderId="84" xfId="0" applyFont="1" applyFill="1" applyBorder="1" applyAlignment="1">
      <alignment horizontal="center" vertical="center"/>
    </xf>
    <xf numFmtId="0" fontId="13" fillId="7" borderId="85" xfId="0" applyFont="1" applyFill="1" applyBorder="1" applyAlignment="1">
      <alignment horizontal="center" vertical="center"/>
    </xf>
    <xf numFmtId="3" fontId="4" fillId="7" borderId="19" xfId="0" applyNumberFormat="1" applyFont="1" applyFill="1" applyBorder="1" applyAlignment="1">
      <alignment horizontal="center" vertical="center"/>
    </xf>
    <xf numFmtId="10" fontId="3" fillId="3" borderId="69" xfId="0" applyNumberFormat="1" applyFont="1" applyFill="1" applyBorder="1" applyAlignment="1">
      <alignment horizontal="center" vertical="center"/>
    </xf>
    <xf numFmtId="10" fontId="3" fillId="3" borderId="70" xfId="0" applyNumberFormat="1" applyFont="1" applyFill="1" applyBorder="1" applyAlignment="1">
      <alignment horizontal="center" vertical="center"/>
    </xf>
    <xf numFmtId="10" fontId="3" fillId="3" borderId="47" xfId="0" applyNumberFormat="1" applyFont="1" applyFill="1" applyBorder="1" applyAlignment="1">
      <alignment horizontal="center" vertical="center"/>
    </xf>
    <xf numFmtId="10" fontId="3" fillId="3" borderId="49" xfId="0" applyNumberFormat="1" applyFont="1" applyFill="1" applyBorder="1" applyAlignment="1">
      <alignment horizontal="center" vertical="center"/>
    </xf>
    <xf numFmtId="1" fontId="3" fillId="9" borderId="69" xfId="0" applyNumberFormat="1" applyFont="1" applyFill="1" applyBorder="1" applyAlignment="1">
      <alignment horizontal="center" vertical="center"/>
    </xf>
    <xf numFmtId="1" fontId="3" fillId="9" borderId="67" xfId="0" applyNumberFormat="1" applyFont="1" applyFill="1" applyBorder="1" applyAlignment="1">
      <alignment horizontal="center" vertical="center"/>
    </xf>
    <xf numFmtId="1" fontId="3" fillId="9" borderId="70" xfId="0" applyNumberFormat="1" applyFont="1" applyFill="1" applyBorder="1" applyAlignment="1">
      <alignment horizontal="center" vertical="center"/>
    </xf>
    <xf numFmtId="1" fontId="3" fillId="3" borderId="47" xfId="0" applyNumberFormat="1" applyFont="1" applyFill="1" applyBorder="1" applyAlignment="1">
      <alignment horizontal="center" vertical="center"/>
    </xf>
    <xf numFmtId="1" fontId="3" fillId="3" borderId="49" xfId="0" applyNumberFormat="1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3" fillId="3" borderId="105" xfId="0" applyFont="1" applyFill="1" applyBorder="1" applyAlignment="1">
      <alignment horizontal="left" vertical="center" wrapText="1"/>
    </xf>
    <xf numFmtId="0" fontId="3" fillId="3" borderId="51" xfId="0" applyFont="1" applyFill="1" applyBorder="1" applyAlignment="1">
      <alignment horizontal="left" vertical="center" wrapText="1"/>
    </xf>
    <xf numFmtId="10" fontId="3" fillId="3" borderId="67" xfId="0" applyNumberFormat="1" applyFont="1" applyFill="1" applyBorder="1" applyAlignment="1">
      <alignment horizontal="center" vertical="center"/>
    </xf>
    <xf numFmtId="164" fontId="5" fillId="3" borderId="69" xfId="0" applyNumberFormat="1" applyFont="1" applyFill="1" applyBorder="1" applyAlignment="1">
      <alignment horizontal="center"/>
    </xf>
    <xf numFmtId="164" fontId="5" fillId="3" borderId="67" xfId="0" applyNumberFormat="1" applyFont="1" applyFill="1" applyBorder="1" applyAlignment="1">
      <alignment horizontal="center"/>
    </xf>
    <xf numFmtId="0" fontId="7" fillId="3" borderId="69" xfId="0" applyFont="1" applyFill="1" applyBorder="1" applyAlignment="1">
      <alignment horizontal="center"/>
    </xf>
    <xf numFmtId="0" fontId="7" fillId="3" borderId="67" xfId="0" applyFont="1" applyFill="1" applyBorder="1" applyAlignment="1">
      <alignment horizontal="center"/>
    </xf>
    <xf numFmtId="3" fontId="3" fillId="3" borderId="41" xfId="0" applyNumberFormat="1" applyFont="1" applyFill="1" applyBorder="1" applyAlignment="1">
      <alignment horizontal="center" vertical="center"/>
    </xf>
    <xf numFmtId="3" fontId="3" fillId="3" borderId="91" xfId="0" applyNumberFormat="1" applyFont="1" applyFill="1" applyBorder="1" applyAlignment="1">
      <alignment horizontal="center" vertical="center"/>
    </xf>
    <xf numFmtId="3" fontId="3" fillId="3" borderId="60" xfId="0" applyNumberFormat="1" applyFont="1" applyFill="1" applyBorder="1" applyAlignment="1">
      <alignment horizontal="center" vertical="center"/>
    </xf>
    <xf numFmtId="3" fontId="3" fillId="3" borderId="61" xfId="0" applyNumberFormat="1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 wrapText="1"/>
    </xf>
    <xf numFmtId="3" fontId="3" fillId="3" borderId="59" xfId="0" applyNumberFormat="1" applyFont="1" applyFill="1" applyBorder="1" applyAlignment="1">
      <alignment horizontal="center" vertical="center"/>
    </xf>
    <xf numFmtId="10" fontId="3" fillId="3" borderId="46" xfId="0" applyNumberFormat="1" applyFont="1" applyFill="1" applyBorder="1" applyAlignment="1">
      <alignment horizontal="center" vertical="center"/>
    </xf>
    <xf numFmtId="10" fontId="3" fillId="3" borderId="48" xfId="0" applyNumberFormat="1" applyFont="1" applyFill="1" applyBorder="1" applyAlignment="1">
      <alignment horizontal="center" vertical="center"/>
    </xf>
    <xf numFmtId="1" fontId="3" fillId="9" borderId="46" xfId="0" applyNumberFormat="1" applyFont="1" applyFill="1" applyBorder="1" applyAlignment="1">
      <alignment horizontal="center" vertical="center"/>
    </xf>
    <xf numFmtId="1" fontId="3" fillId="9" borderId="48" xfId="0" applyNumberFormat="1" applyFont="1" applyFill="1" applyBorder="1" applyAlignment="1">
      <alignment horizontal="center" vertical="center"/>
    </xf>
    <xf numFmtId="0" fontId="3" fillId="3" borderId="107" xfId="0" applyFont="1" applyFill="1" applyBorder="1" applyAlignment="1">
      <alignment horizontal="left" vertical="center" wrapText="1"/>
    </xf>
    <xf numFmtId="0" fontId="3" fillId="3" borderId="108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45" xfId="0" applyFont="1" applyFill="1" applyBorder="1" applyAlignment="1">
      <alignment horizontal="left" vertical="center" wrapText="1"/>
    </xf>
    <xf numFmtId="0" fontId="3" fillId="3" borderId="50" xfId="0" applyFont="1" applyFill="1" applyBorder="1" applyAlignment="1">
      <alignment horizontal="left" vertical="center" wrapText="1"/>
    </xf>
    <xf numFmtId="164" fontId="5" fillId="3" borderId="68" xfId="0" applyNumberFormat="1" applyFont="1" applyFill="1" applyBorder="1" applyAlignment="1">
      <alignment horizontal="center"/>
    </xf>
    <xf numFmtId="3" fontId="5" fillId="3" borderId="67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3" fillId="3" borderId="106" xfId="0" applyFont="1" applyFill="1" applyBorder="1" applyAlignment="1">
      <alignment horizontal="left" vertical="center" wrapText="1"/>
    </xf>
    <xf numFmtId="0" fontId="3" fillId="3" borderId="43" xfId="0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>
      <alignment horizontal="left" vertical="center" wrapText="1"/>
    </xf>
    <xf numFmtId="3" fontId="3" fillId="3" borderId="45" xfId="0" applyNumberFormat="1" applyFont="1" applyFill="1" applyBorder="1" applyAlignment="1">
      <alignment horizontal="left" vertical="center" wrapText="1"/>
    </xf>
    <xf numFmtId="3" fontId="3" fillId="3" borderId="105" xfId="0" applyNumberFormat="1" applyFont="1" applyFill="1" applyBorder="1" applyAlignment="1">
      <alignment horizontal="left" vertical="center" wrapText="1"/>
    </xf>
    <xf numFmtId="3" fontId="3" fillId="3" borderId="51" xfId="0" applyNumberFormat="1" applyFont="1" applyFill="1" applyBorder="1" applyAlignment="1">
      <alignment horizontal="left" vertical="center" wrapText="1"/>
    </xf>
    <xf numFmtId="0" fontId="6" fillId="3" borderId="7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CC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2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hyperlink" Target="http://www.antiquefootball.com" TargetMode="External"/><Relationship Id="rId2" Type="http://schemas.openxmlformats.org/officeDocument/2006/relationships/image" Target="../media/image2.jpeg"/><Relationship Id="rId16" Type="http://schemas.openxmlformats.org/officeDocument/2006/relationships/image" Target="../media/image15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4.JP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229191</xdr:colOff>
      <xdr:row>26</xdr:row>
      <xdr:rowOff>139700</xdr:rowOff>
    </xdr:from>
    <xdr:to>
      <xdr:col>2</xdr:col>
      <xdr:colOff>1949450</xdr:colOff>
      <xdr:row>27</xdr:row>
      <xdr:rowOff>1111250</xdr:rowOff>
    </xdr:to>
    <xdr:pic>
      <xdr:nvPicPr>
        <xdr:cNvPr id="3" name="Picture 2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93691" y="38557200"/>
          <a:ext cx="1720259" cy="224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345610</xdr:colOff>
      <xdr:row>18</xdr:row>
      <xdr:rowOff>152399</xdr:rowOff>
    </xdr:from>
    <xdr:to>
      <xdr:col>2</xdr:col>
      <xdr:colOff>1873250</xdr:colOff>
      <xdr:row>19</xdr:row>
      <xdr:rowOff>1111250</xdr:rowOff>
    </xdr:to>
    <xdr:pic>
      <xdr:nvPicPr>
        <xdr:cNvPr id="22" name="Picture 7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10110" y="28409899"/>
          <a:ext cx="1527640" cy="2228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350308</xdr:colOff>
      <xdr:row>24</xdr:row>
      <xdr:rowOff>165099</xdr:rowOff>
    </xdr:from>
    <xdr:to>
      <xdr:col>2</xdr:col>
      <xdr:colOff>1905000</xdr:colOff>
      <xdr:row>25</xdr:row>
      <xdr:rowOff>1047750</xdr:rowOff>
    </xdr:to>
    <xdr:pic>
      <xdr:nvPicPr>
        <xdr:cNvPr id="26" name="Picture 8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98708" y="25539699"/>
          <a:ext cx="1554692" cy="2139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237671</xdr:colOff>
      <xdr:row>38</xdr:row>
      <xdr:rowOff>203200</xdr:rowOff>
    </xdr:from>
    <xdr:to>
      <xdr:col>2</xdr:col>
      <xdr:colOff>1949450</xdr:colOff>
      <xdr:row>39</xdr:row>
      <xdr:rowOff>1047750</xdr:rowOff>
    </xdr:to>
    <xdr:pic>
      <xdr:nvPicPr>
        <xdr:cNvPr id="40" name="Picture 117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302171" y="56400700"/>
          <a:ext cx="1711779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222250</xdr:colOff>
      <xdr:row>36</xdr:row>
      <xdr:rowOff>120650</xdr:rowOff>
    </xdr:from>
    <xdr:to>
      <xdr:col>2</xdr:col>
      <xdr:colOff>2000250</xdr:colOff>
      <xdr:row>37</xdr:row>
      <xdr:rowOff>1111250</xdr:rowOff>
    </xdr:to>
    <xdr:pic>
      <xdr:nvPicPr>
        <xdr:cNvPr id="49" name="Picture 13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286750" y="53778150"/>
          <a:ext cx="1778000" cy="226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185918</xdr:colOff>
      <xdr:row>34</xdr:row>
      <xdr:rowOff>165100</xdr:rowOff>
    </xdr:from>
    <xdr:to>
      <xdr:col>2</xdr:col>
      <xdr:colOff>2038350</xdr:colOff>
      <xdr:row>35</xdr:row>
      <xdr:rowOff>1016000</xdr:rowOff>
    </xdr:to>
    <xdr:pic>
      <xdr:nvPicPr>
        <xdr:cNvPr id="69" name="Picture 8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250418" y="48742600"/>
          <a:ext cx="1852432" cy="212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222250</xdr:colOff>
      <xdr:row>22</xdr:row>
      <xdr:rowOff>0</xdr:rowOff>
    </xdr:from>
    <xdr:to>
      <xdr:col>2</xdr:col>
      <xdr:colOff>1920875</xdr:colOff>
      <xdr:row>23</xdr:row>
      <xdr:rowOff>994833</xdr:rowOff>
    </xdr:to>
    <xdr:pic>
      <xdr:nvPicPr>
        <xdr:cNvPr id="115" name="Picture 7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286750" y="33445449"/>
          <a:ext cx="1698625" cy="2264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224254</xdr:colOff>
      <xdr:row>30</xdr:row>
      <xdr:rowOff>158750</xdr:rowOff>
    </xdr:from>
    <xdr:to>
      <xdr:col>2</xdr:col>
      <xdr:colOff>1958976</xdr:colOff>
      <xdr:row>31</xdr:row>
      <xdr:rowOff>1016000</xdr:rowOff>
    </xdr:to>
    <xdr:pic>
      <xdr:nvPicPr>
        <xdr:cNvPr id="120" name="Picture 53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288754" y="43656250"/>
          <a:ext cx="1734722" cy="212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16</xdr:row>
      <xdr:rowOff>158750</xdr:rowOff>
    </xdr:from>
    <xdr:to>
      <xdr:col>2</xdr:col>
      <xdr:colOff>2000250</xdr:colOff>
      <xdr:row>17</xdr:row>
      <xdr:rowOff>1097710</xdr:rowOff>
    </xdr:to>
    <xdr:pic>
      <xdr:nvPicPr>
        <xdr:cNvPr id="124" name="Picture 64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255000" y="23336250"/>
          <a:ext cx="1809750" cy="220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222250</xdr:colOff>
      <xdr:row>22</xdr:row>
      <xdr:rowOff>114299</xdr:rowOff>
    </xdr:from>
    <xdr:to>
      <xdr:col>2</xdr:col>
      <xdr:colOff>2019300</xdr:colOff>
      <xdr:row>23</xdr:row>
      <xdr:rowOff>1129120</xdr:rowOff>
    </xdr:to>
    <xdr:pic>
      <xdr:nvPicPr>
        <xdr:cNvPr id="126" name="Picture 69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239000" y="19450049"/>
          <a:ext cx="1797050" cy="2284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204439</xdr:colOff>
      <xdr:row>14</xdr:row>
      <xdr:rowOff>177426</xdr:rowOff>
    </xdr:from>
    <xdr:ext cx="1827561" cy="2203824"/>
    <xdr:pic>
      <xdr:nvPicPr>
        <xdr:cNvPr id="127" name="Picture 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221189" y="16973176"/>
          <a:ext cx="1827561" cy="2203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32</xdr:col>
      <xdr:colOff>603250</xdr:colOff>
      <xdr:row>0</xdr:row>
      <xdr:rowOff>266700</xdr:rowOff>
    </xdr:from>
    <xdr:to>
      <xdr:col>38</xdr:col>
      <xdr:colOff>1322168</xdr:colOff>
      <xdr:row>0</xdr:row>
      <xdr:rowOff>2229346</xdr:rowOff>
    </xdr:to>
    <xdr:pic>
      <xdr:nvPicPr>
        <xdr:cNvPr id="128" name="Picture 127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01250" y="266700"/>
          <a:ext cx="9862918" cy="1962646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</xdr:col>
      <xdr:colOff>233362</xdr:colOff>
      <xdr:row>32</xdr:row>
      <xdr:rowOff>158750</xdr:rowOff>
    </xdr:from>
    <xdr:to>
      <xdr:col>2</xdr:col>
      <xdr:colOff>1924050</xdr:colOff>
      <xdr:row>33</xdr:row>
      <xdr:rowOff>1143000</xdr:rowOff>
    </xdr:to>
    <xdr:pic>
      <xdr:nvPicPr>
        <xdr:cNvPr id="134" name="Picture 89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297862" y="46196250"/>
          <a:ext cx="1690688" cy="2254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112554</xdr:colOff>
      <xdr:row>20</xdr:row>
      <xdr:rowOff>241300</xdr:rowOff>
    </xdr:from>
    <xdr:to>
      <xdr:col>2</xdr:col>
      <xdr:colOff>2110141</xdr:colOff>
      <xdr:row>21</xdr:row>
      <xdr:rowOff>984250</xdr:rowOff>
    </xdr:to>
    <xdr:pic>
      <xdr:nvPicPr>
        <xdr:cNvPr id="137" name="Picture 136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7054" y="31038800"/>
          <a:ext cx="1997587" cy="2012950"/>
        </a:xfrm>
        <a:prstGeom prst="rect">
          <a:avLst/>
        </a:prstGeom>
      </xdr:spPr>
    </xdr:pic>
    <xdr:clientData/>
  </xdr:twoCellAnchor>
  <xdr:twoCellAnchor editAs="oneCell">
    <xdr:from>
      <xdr:col>2</xdr:col>
      <xdr:colOff>182990</xdr:colOff>
      <xdr:row>28</xdr:row>
      <xdr:rowOff>152398</xdr:rowOff>
    </xdr:from>
    <xdr:to>
      <xdr:col>2</xdr:col>
      <xdr:colOff>2038350</xdr:colOff>
      <xdr:row>29</xdr:row>
      <xdr:rowOff>952500</xdr:rowOff>
    </xdr:to>
    <xdr:pic>
      <xdr:nvPicPr>
        <xdr:cNvPr id="157" name="Picture 15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7490" y="41109898"/>
          <a:ext cx="1855360" cy="2070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53"/>
  <sheetViews>
    <sheetView tabSelected="1" zoomScale="25" zoomScaleNormal="25" workbookViewId="0">
      <pane xSplit="8955" ySplit="4905" topLeftCell="J15" activePane="bottomLeft"/>
      <selection activeCell="F1" sqref="F1"/>
      <selection pane="topRight" activeCell="P4" sqref="P4 P9"/>
      <selection pane="bottomLeft" activeCell="F14" sqref="F14"/>
      <selection pane="bottomRight" activeCell="S25" sqref="S25"/>
    </sheetView>
  </sheetViews>
  <sheetFormatPr defaultRowHeight="46.5" x14ac:dyDescent="0.7"/>
  <cols>
    <col min="1" max="1" width="34.140625" style="7" customWidth="1"/>
    <col min="2" max="2" width="59.28515625" style="10" customWidth="1"/>
    <col min="3" max="3" width="32.85546875" style="9" customWidth="1"/>
    <col min="4" max="4" width="41" style="256" customWidth="1"/>
    <col min="5" max="5" width="41" style="296" customWidth="1"/>
    <col min="6" max="6" width="54.28515625" style="142" customWidth="1"/>
    <col min="7" max="7" width="68.5703125" style="142" customWidth="1"/>
    <col min="8" max="39" width="22.7109375" style="9" customWidth="1"/>
    <col min="40" max="16384" width="9.140625" style="3"/>
  </cols>
  <sheetData>
    <row r="1" spans="1:260" ht="192.75" customHeight="1" thickTop="1" thickBot="1" x14ac:dyDescent="0.3">
      <c r="A1" s="318" t="s">
        <v>36</v>
      </c>
      <c r="B1" s="317"/>
      <c r="C1" s="317"/>
      <c r="D1" s="317"/>
      <c r="E1" s="317"/>
      <c r="F1" s="317"/>
      <c r="G1" s="317"/>
      <c r="H1" s="316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1"/>
      <c r="AG1" s="1"/>
      <c r="AH1" s="1"/>
      <c r="AI1" s="1"/>
      <c r="AJ1" s="1"/>
      <c r="AK1" s="1"/>
      <c r="AL1" s="1"/>
      <c r="AM1" s="2"/>
    </row>
    <row r="2" spans="1:260" s="270" customFormat="1" ht="51.75" customHeight="1" thickTop="1" thickBot="1" x14ac:dyDescent="0.3">
      <c r="A2" s="271"/>
      <c r="B2" s="272"/>
      <c r="C2" s="273"/>
      <c r="D2" s="274"/>
      <c r="E2" s="290"/>
      <c r="F2" s="275"/>
      <c r="G2" s="276"/>
      <c r="H2" s="277">
        <v>1894</v>
      </c>
      <c r="I2" s="278">
        <v>1895</v>
      </c>
      <c r="J2" s="279">
        <v>1896</v>
      </c>
      <c r="K2" s="279">
        <v>1897</v>
      </c>
      <c r="L2" s="279">
        <v>1898</v>
      </c>
      <c r="M2" s="280">
        <v>1899</v>
      </c>
      <c r="N2" s="281">
        <v>1900</v>
      </c>
      <c r="O2" s="282">
        <v>1901</v>
      </c>
      <c r="P2" s="282">
        <v>1902</v>
      </c>
      <c r="Q2" s="282">
        <v>1903</v>
      </c>
      <c r="R2" s="282">
        <v>1904</v>
      </c>
      <c r="S2" s="282">
        <v>1905</v>
      </c>
      <c r="T2" s="282">
        <v>1906</v>
      </c>
      <c r="U2" s="282">
        <v>1907</v>
      </c>
      <c r="V2" s="282">
        <v>1908</v>
      </c>
      <c r="W2" s="283">
        <v>1909</v>
      </c>
      <c r="X2" s="284">
        <v>1910</v>
      </c>
      <c r="Y2" s="285">
        <v>1911</v>
      </c>
      <c r="Z2" s="285">
        <v>1912</v>
      </c>
      <c r="AA2" s="285">
        <v>1913</v>
      </c>
      <c r="AB2" s="285">
        <v>1914</v>
      </c>
      <c r="AC2" s="285">
        <v>1915</v>
      </c>
      <c r="AD2" s="285">
        <v>1916</v>
      </c>
      <c r="AE2" s="285">
        <v>1917</v>
      </c>
      <c r="AF2" s="285">
        <v>1918</v>
      </c>
      <c r="AG2" s="286">
        <v>1919</v>
      </c>
      <c r="AH2" s="287">
        <v>1920</v>
      </c>
      <c r="AI2" s="288">
        <v>1921</v>
      </c>
      <c r="AJ2" s="288">
        <v>1922</v>
      </c>
      <c r="AK2" s="288">
        <v>1923</v>
      </c>
      <c r="AL2" s="288">
        <v>1924</v>
      </c>
      <c r="AM2" s="289">
        <v>1925</v>
      </c>
    </row>
    <row r="3" spans="1:260" s="65" customFormat="1" ht="51.75" hidden="1" customHeight="1" x14ac:dyDescent="0.25">
      <c r="A3" s="56" t="s">
        <v>33</v>
      </c>
      <c r="B3" s="57"/>
      <c r="C3" s="234"/>
      <c r="D3" s="251"/>
      <c r="E3" s="291"/>
      <c r="F3" s="234"/>
      <c r="G3" s="235"/>
      <c r="H3" s="233">
        <f t="shared" ref="H3:M3" si="0">H15+H17+H19+H21+H23+H25+H27+H29+H31+H33+H35+H37+H39+H41</f>
        <v>1</v>
      </c>
      <c r="I3" s="236">
        <f t="shared" si="0"/>
        <v>1</v>
      </c>
      <c r="J3" s="237">
        <f t="shared" si="0"/>
        <v>1</v>
      </c>
      <c r="K3" s="237">
        <f t="shared" si="0"/>
        <v>1</v>
      </c>
      <c r="L3" s="237">
        <f t="shared" si="0"/>
        <v>1</v>
      </c>
      <c r="M3" s="238">
        <f t="shared" si="0"/>
        <v>1</v>
      </c>
      <c r="N3" s="239">
        <f>N15+N17+N19+N21+N23+N25+N27+N29+N31+N33+N35+N37+N39+N41</f>
        <v>1</v>
      </c>
      <c r="O3" s="240">
        <f t="shared" ref="O3:AM3" si="1">O15+O17+O19+O21+O23+O25+O27+O29+O31+O33+O35+O37+O39+O41</f>
        <v>1</v>
      </c>
      <c r="P3" s="240">
        <f t="shared" si="1"/>
        <v>1</v>
      </c>
      <c r="Q3" s="240">
        <f t="shared" si="1"/>
        <v>1</v>
      </c>
      <c r="R3" s="240">
        <f t="shared" si="1"/>
        <v>1</v>
      </c>
      <c r="S3" s="240">
        <f t="shared" si="1"/>
        <v>1</v>
      </c>
      <c r="T3" s="240">
        <f t="shared" si="1"/>
        <v>1</v>
      </c>
      <c r="U3" s="240">
        <f t="shared" si="1"/>
        <v>1.0000000000000002</v>
      </c>
      <c r="V3" s="240">
        <f t="shared" si="1"/>
        <v>1.0000000000000002</v>
      </c>
      <c r="W3" s="241">
        <f t="shared" si="1"/>
        <v>1</v>
      </c>
      <c r="X3" s="242">
        <f t="shared" si="1"/>
        <v>1</v>
      </c>
      <c r="Y3" s="243">
        <f t="shared" si="1"/>
        <v>1</v>
      </c>
      <c r="Z3" s="243">
        <f t="shared" si="1"/>
        <v>1.0000000000000002</v>
      </c>
      <c r="AA3" s="243">
        <f t="shared" si="1"/>
        <v>1.0000000000000002</v>
      </c>
      <c r="AB3" s="243">
        <f t="shared" si="1"/>
        <v>1</v>
      </c>
      <c r="AC3" s="243">
        <f t="shared" si="1"/>
        <v>1</v>
      </c>
      <c r="AD3" s="243">
        <f t="shared" si="1"/>
        <v>1</v>
      </c>
      <c r="AE3" s="243">
        <f t="shared" si="1"/>
        <v>1</v>
      </c>
      <c r="AF3" s="243">
        <f t="shared" si="1"/>
        <v>1</v>
      </c>
      <c r="AG3" s="244">
        <f t="shared" si="1"/>
        <v>1</v>
      </c>
      <c r="AH3" s="245">
        <f t="shared" si="1"/>
        <v>1</v>
      </c>
      <c r="AI3" s="246">
        <f t="shared" si="1"/>
        <v>1</v>
      </c>
      <c r="AJ3" s="246">
        <f t="shared" si="1"/>
        <v>1</v>
      </c>
      <c r="AK3" s="246">
        <f t="shared" si="1"/>
        <v>1</v>
      </c>
      <c r="AL3" s="246">
        <f t="shared" si="1"/>
        <v>1</v>
      </c>
      <c r="AM3" s="247">
        <f t="shared" si="1"/>
        <v>1</v>
      </c>
    </row>
    <row r="4" spans="1:260" s="17" customFormat="1" ht="102" customHeight="1" x14ac:dyDescent="0.35">
      <c r="A4" s="15" t="s">
        <v>13</v>
      </c>
      <c r="B4" s="96"/>
      <c r="C4" s="16"/>
      <c r="D4" s="43"/>
      <c r="E4" s="292"/>
      <c r="F4" s="16"/>
      <c r="G4" s="163"/>
      <c r="H4" s="158">
        <f>ROUND(67929871,-4)</f>
        <v>67930000</v>
      </c>
      <c r="I4" s="18">
        <f>ROUND(69227035,-4)</f>
        <v>69230000</v>
      </c>
      <c r="J4" s="18">
        <f>ROUND(70548968,-4)</f>
        <v>70550000</v>
      </c>
      <c r="K4" s="18">
        <f>ROUND(71896145,-4)</f>
        <v>71900000</v>
      </c>
      <c r="L4" s="18">
        <f>ROUND(73269047,-4)</f>
        <v>73270000</v>
      </c>
      <c r="M4" s="19">
        <f>ROUND(74668165,-4)</f>
        <v>74670000</v>
      </c>
      <c r="N4" s="20">
        <f>ROUND(76094000,-4)</f>
        <v>76090000</v>
      </c>
      <c r="O4" s="21">
        <f>ROUND(77584000,-4)</f>
        <v>77580000</v>
      </c>
      <c r="P4" s="21">
        <f>ROUND(79163000,-4)</f>
        <v>79160000</v>
      </c>
      <c r="Q4" s="21">
        <f>ROUND(80632000,-4)</f>
        <v>80630000</v>
      </c>
      <c r="R4" s="21">
        <f>ROUND(82166000,-4)</f>
        <v>82170000</v>
      </c>
      <c r="S4" s="21">
        <f>ROUND(83822000,-4)</f>
        <v>83820000</v>
      </c>
      <c r="T4" s="21">
        <f>ROUND(85450000,-4)</f>
        <v>85450000</v>
      </c>
      <c r="U4" s="21">
        <f>ROUND(87007000,-4)</f>
        <v>87010000</v>
      </c>
      <c r="V4" s="21">
        <f>ROUND(88710000,-4)</f>
        <v>88710000</v>
      </c>
      <c r="W4" s="22">
        <f>ROUND(90490000,-4)</f>
        <v>90490000</v>
      </c>
      <c r="X4" s="23">
        <f>ROUND(92407000,-4)</f>
        <v>92410000</v>
      </c>
      <c r="Y4" s="24">
        <f>ROUND(93863000,-4)</f>
        <v>93860000</v>
      </c>
      <c r="Z4" s="24">
        <f>ROUND(95335000,-4)</f>
        <v>95340000</v>
      </c>
      <c r="AA4" s="24">
        <f>ROUND(97225000,-4)</f>
        <v>97230000</v>
      </c>
      <c r="AB4" s="24">
        <f>ROUND(99111000,-4)</f>
        <v>99110000</v>
      </c>
      <c r="AC4" s="24">
        <f>ROUND(100546000,-4)</f>
        <v>100550000</v>
      </c>
      <c r="AD4" s="24">
        <f>ROUND(101961000,-4)</f>
        <v>101960000</v>
      </c>
      <c r="AE4" s="24">
        <f>ROUND(103268000,-4)</f>
        <v>103270000</v>
      </c>
      <c r="AF4" s="24">
        <f>ROUND(104514000,-4)</f>
        <v>104510000</v>
      </c>
      <c r="AG4" s="25">
        <f>ROUND(106461000,-4)</f>
        <v>106460000</v>
      </c>
      <c r="AH4" s="26">
        <f>ROUND(106461000,-4)</f>
        <v>106460000</v>
      </c>
      <c r="AI4" s="27">
        <f>ROUND(108538000,-4)</f>
        <v>108540000</v>
      </c>
      <c r="AJ4" s="27">
        <f>ROUND(110049000,-4)</f>
        <v>110050000</v>
      </c>
      <c r="AK4" s="27">
        <f>ROUND(111947000,-4)</f>
        <v>111950000</v>
      </c>
      <c r="AL4" s="27">
        <f>ROUND(114109000,-4)</f>
        <v>114110000</v>
      </c>
      <c r="AM4" s="28">
        <f>ROUND(115829000,-4)</f>
        <v>115830000</v>
      </c>
    </row>
    <row r="5" spans="1:260" s="41" customFormat="1" ht="102" hidden="1" customHeight="1" x14ac:dyDescent="0.35">
      <c r="A5" s="29" t="s">
        <v>15</v>
      </c>
      <c r="B5" s="97"/>
      <c r="C5" s="30"/>
      <c r="D5" s="43"/>
      <c r="E5" s="292"/>
      <c r="F5" s="16"/>
      <c r="G5" s="163"/>
      <c r="H5" s="159">
        <v>0.49</v>
      </c>
      <c r="I5" s="81">
        <v>0.49</v>
      </c>
      <c r="J5" s="81">
        <v>0.49</v>
      </c>
      <c r="K5" s="81">
        <v>0.49</v>
      </c>
      <c r="L5" s="81">
        <v>0.49</v>
      </c>
      <c r="M5" s="31">
        <v>0.49</v>
      </c>
      <c r="N5" s="32">
        <v>0.49</v>
      </c>
      <c r="O5" s="33">
        <v>0.49</v>
      </c>
      <c r="P5" s="33">
        <v>0.49</v>
      </c>
      <c r="Q5" s="33">
        <v>0.49</v>
      </c>
      <c r="R5" s="33">
        <v>0.49</v>
      </c>
      <c r="S5" s="33">
        <v>0.49</v>
      </c>
      <c r="T5" s="33">
        <v>0.49</v>
      </c>
      <c r="U5" s="33">
        <v>0.49</v>
      </c>
      <c r="V5" s="33">
        <v>0.49</v>
      </c>
      <c r="W5" s="34">
        <v>0.49</v>
      </c>
      <c r="X5" s="35">
        <v>0.49</v>
      </c>
      <c r="Y5" s="36">
        <v>0.49</v>
      </c>
      <c r="Z5" s="36">
        <v>0.49</v>
      </c>
      <c r="AA5" s="36">
        <v>0.49</v>
      </c>
      <c r="AB5" s="36">
        <v>0.49</v>
      </c>
      <c r="AC5" s="36">
        <v>0.49</v>
      </c>
      <c r="AD5" s="36">
        <v>0.49</v>
      </c>
      <c r="AE5" s="36">
        <v>0.49</v>
      </c>
      <c r="AF5" s="36">
        <v>0.49</v>
      </c>
      <c r="AG5" s="37">
        <v>0.49</v>
      </c>
      <c r="AH5" s="38">
        <v>0.49</v>
      </c>
      <c r="AI5" s="39">
        <v>0.49</v>
      </c>
      <c r="AJ5" s="39">
        <v>0.49</v>
      </c>
      <c r="AK5" s="39">
        <v>0.49</v>
      </c>
      <c r="AL5" s="39">
        <v>0.49</v>
      </c>
      <c r="AM5" s="40">
        <v>0.49</v>
      </c>
    </row>
    <row r="6" spans="1:260" s="41" customFormat="1" ht="102" hidden="1" customHeight="1" x14ac:dyDescent="0.35">
      <c r="A6" s="29" t="s">
        <v>14</v>
      </c>
      <c r="B6" s="97"/>
      <c r="C6" s="30"/>
      <c r="D6" s="43"/>
      <c r="E6" s="292"/>
      <c r="F6" s="16"/>
      <c r="G6" s="163"/>
      <c r="H6" s="159">
        <v>0.15</v>
      </c>
      <c r="I6" s="81">
        <v>0.15</v>
      </c>
      <c r="J6" s="81">
        <v>0.15</v>
      </c>
      <c r="K6" s="81">
        <v>0.15</v>
      </c>
      <c r="L6" s="81">
        <v>0.15</v>
      </c>
      <c r="M6" s="31">
        <v>0.15</v>
      </c>
      <c r="N6" s="32">
        <v>0.15</v>
      </c>
      <c r="O6" s="33">
        <v>0.15</v>
      </c>
      <c r="P6" s="33">
        <v>0.15</v>
      </c>
      <c r="Q6" s="33">
        <v>0.15</v>
      </c>
      <c r="R6" s="33">
        <v>0.15</v>
      </c>
      <c r="S6" s="33">
        <v>0.15</v>
      </c>
      <c r="T6" s="33">
        <v>0.15</v>
      </c>
      <c r="U6" s="33">
        <v>0.15</v>
      </c>
      <c r="V6" s="33">
        <v>0.15</v>
      </c>
      <c r="W6" s="34">
        <v>0.15</v>
      </c>
      <c r="X6" s="35">
        <v>0.15</v>
      </c>
      <c r="Y6" s="36">
        <v>0.15</v>
      </c>
      <c r="Z6" s="36">
        <v>0.15</v>
      </c>
      <c r="AA6" s="36">
        <v>0.15</v>
      </c>
      <c r="AB6" s="36">
        <v>0.15</v>
      </c>
      <c r="AC6" s="36">
        <v>0.15</v>
      </c>
      <c r="AD6" s="36">
        <v>0.15</v>
      </c>
      <c r="AE6" s="36">
        <v>0.15</v>
      </c>
      <c r="AF6" s="36">
        <v>0.15</v>
      </c>
      <c r="AG6" s="37">
        <v>0.15</v>
      </c>
      <c r="AH6" s="38">
        <v>0.15</v>
      </c>
      <c r="AI6" s="39">
        <v>0.15</v>
      </c>
      <c r="AJ6" s="39">
        <v>0.15</v>
      </c>
      <c r="AK6" s="39">
        <v>0.15</v>
      </c>
      <c r="AL6" s="39">
        <v>0.15</v>
      </c>
      <c r="AM6" s="40">
        <v>0.15</v>
      </c>
    </row>
    <row r="7" spans="1:260" ht="102" hidden="1" customHeight="1" x14ac:dyDescent="0.25">
      <c r="A7" s="13" t="s">
        <v>18</v>
      </c>
      <c r="B7" s="14"/>
      <c r="C7" s="12"/>
      <c r="D7" s="252"/>
      <c r="E7" s="293"/>
      <c r="F7" s="140"/>
      <c r="G7" s="164"/>
      <c r="H7" s="158">
        <f t="shared" ref="H7:AM7" si="2">H4*H5*H6</f>
        <v>4992855</v>
      </c>
      <c r="I7" s="18">
        <f t="shared" si="2"/>
        <v>5088405</v>
      </c>
      <c r="J7" s="18">
        <f t="shared" si="2"/>
        <v>5185425</v>
      </c>
      <c r="K7" s="18">
        <f t="shared" si="2"/>
        <v>5284650</v>
      </c>
      <c r="L7" s="18">
        <f t="shared" si="2"/>
        <v>5385345</v>
      </c>
      <c r="M7" s="19">
        <f t="shared" si="2"/>
        <v>5488245</v>
      </c>
      <c r="N7" s="20">
        <f t="shared" si="2"/>
        <v>5592615</v>
      </c>
      <c r="O7" s="21">
        <f t="shared" si="2"/>
        <v>5702130</v>
      </c>
      <c r="P7" s="21">
        <f t="shared" si="2"/>
        <v>5818260</v>
      </c>
      <c r="Q7" s="21">
        <f t="shared" si="2"/>
        <v>5926305</v>
      </c>
      <c r="R7" s="21">
        <f t="shared" si="2"/>
        <v>6039495</v>
      </c>
      <c r="S7" s="21">
        <f t="shared" si="2"/>
        <v>6160770</v>
      </c>
      <c r="T7" s="21">
        <f t="shared" si="2"/>
        <v>6280575</v>
      </c>
      <c r="U7" s="21">
        <f t="shared" si="2"/>
        <v>6395235</v>
      </c>
      <c r="V7" s="21">
        <f t="shared" si="2"/>
        <v>6520185</v>
      </c>
      <c r="W7" s="22">
        <f t="shared" si="2"/>
        <v>6651015</v>
      </c>
      <c r="X7" s="23">
        <f t="shared" si="2"/>
        <v>6792135</v>
      </c>
      <c r="Y7" s="24">
        <f t="shared" si="2"/>
        <v>6898710</v>
      </c>
      <c r="Z7" s="24">
        <f t="shared" si="2"/>
        <v>7007490</v>
      </c>
      <c r="AA7" s="24">
        <f t="shared" si="2"/>
        <v>7146405</v>
      </c>
      <c r="AB7" s="24">
        <f t="shared" si="2"/>
        <v>7284585</v>
      </c>
      <c r="AC7" s="24">
        <f t="shared" si="2"/>
        <v>7390425</v>
      </c>
      <c r="AD7" s="24">
        <f t="shared" si="2"/>
        <v>7494060</v>
      </c>
      <c r="AE7" s="24">
        <f t="shared" si="2"/>
        <v>7590345</v>
      </c>
      <c r="AF7" s="24">
        <f t="shared" si="2"/>
        <v>7681485</v>
      </c>
      <c r="AG7" s="25">
        <f t="shared" si="2"/>
        <v>7824810</v>
      </c>
      <c r="AH7" s="26">
        <f t="shared" si="2"/>
        <v>7824810</v>
      </c>
      <c r="AI7" s="27">
        <f t="shared" si="2"/>
        <v>7977690</v>
      </c>
      <c r="AJ7" s="27">
        <f t="shared" si="2"/>
        <v>8088675</v>
      </c>
      <c r="AK7" s="27">
        <f t="shared" si="2"/>
        <v>8228325</v>
      </c>
      <c r="AL7" s="27">
        <f t="shared" si="2"/>
        <v>8387085</v>
      </c>
      <c r="AM7" s="28">
        <f t="shared" si="2"/>
        <v>8513505</v>
      </c>
    </row>
    <row r="8" spans="1:260" ht="102" hidden="1" customHeight="1" x14ac:dyDescent="0.25">
      <c r="A8" s="13" t="s">
        <v>19</v>
      </c>
      <c r="B8" s="14"/>
      <c r="C8" s="12"/>
      <c r="D8" s="252"/>
      <c r="E8" s="293"/>
      <c r="F8" s="140"/>
      <c r="G8" s="164"/>
      <c r="H8" s="160">
        <f t="shared" ref="H8:AM8" si="3">H10/H7</f>
        <v>4.8979591836734691E-2</v>
      </c>
      <c r="I8" s="44">
        <f t="shared" si="3"/>
        <v>4.8979591836734691E-2</v>
      </c>
      <c r="J8" s="79">
        <f t="shared" si="3"/>
        <v>4.8979591836734691E-2</v>
      </c>
      <c r="K8" s="79">
        <f t="shared" si="3"/>
        <v>4.8979591836734691E-2</v>
      </c>
      <c r="L8" s="79">
        <f t="shared" si="3"/>
        <v>4.8979591836734691E-2</v>
      </c>
      <c r="M8" s="45">
        <f t="shared" si="3"/>
        <v>4.8979591836734691E-2</v>
      </c>
      <c r="N8" s="46">
        <f t="shared" si="3"/>
        <v>4.8979591836734691E-2</v>
      </c>
      <c r="O8" s="47">
        <f t="shared" si="3"/>
        <v>4.8979591836734691E-2</v>
      </c>
      <c r="P8" s="47">
        <f t="shared" si="3"/>
        <v>4.8979591836734691E-2</v>
      </c>
      <c r="Q8" s="47">
        <f t="shared" si="3"/>
        <v>4.8979591836734691E-2</v>
      </c>
      <c r="R8" s="47">
        <f t="shared" si="3"/>
        <v>4.8979591836734691E-2</v>
      </c>
      <c r="S8" s="47">
        <f t="shared" si="3"/>
        <v>4.8979591836734691E-2</v>
      </c>
      <c r="T8" s="47">
        <f t="shared" si="3"/>
        <v>4.8979591836734691E-2</v>
      </c>
      <c r="U8" s="47">
        <f t="shared" si="3"/>
        <v>4.8979591836734691E-2</v>
      </c>
      <c r="V8" s="47">
        <f t="shared" si="3"/>
        <v>4.8979591836734691E-2</v>
      </c>
      <c r="W8" s="48">
        <f t="shared" si="3"/>
        <v>4.8979591836734691E-2</v>
      </c>
      <c r="X8" s="49">
        <f t="shared" si="3"/>
        <v>4.8979591836734691E-2</v>
      </c>
      <c r="Y8" s="50">
        <f t="shared" si="3"/>
        <v>4.8979591836734691E-2</v>
      </c>
      <c r="Z8" s="50">
        <f t="shared" si="3"/>
        <v>4.8979591836734691E-2</v>
      </c>
      <c r="AA8" s="50">
        <f t="shared" si="3"/>
        <v>4.8979591836734691E-2</v>
      </c>
      <c r="AB8" s="50">
        <f t="shared" si="3"/>
        <v>4.8979591836734691E-2</v>
      </c>
      <c r="AC8" s="50">
        <f t="shared" si="3"/>
        <v>4.8979591836734691E-2</v>
      </c>
      <c r="AD8" s="50">
        <f t="shared" si="3"/>
        <v>4.8979591836734691E-2</v>
      </c>
      <c r="AE8" s="50">
        <f t="shared" si="3"/>
        <v>4.8979591836734691E-2</v>
      </c>
      <c r="AF8" s="50">
        <f t="shared" si="3"/>
        <v>4.8979591836734691E-2</v>
      </c>
      <c r="AG8" s="51">
        <f t="shared" si="3"/>
        <v>4.8979591836734691E-2</v>
      </c>
      <c r="AH8" s="52">
        <f t="shared" si="3"/>
        <v>4.8979591836734691E-2</v>
      </c>
      <c r="AI8" s="53">
        <f t="shared" si="3"/>
        <v>4.8979591836734691E-2</v>
      </c>
      <c r="AJ8" s="53">
        <f t="shared" si="3"/>
        <v>4.8979591836734691E-2</v>
      </c>
      <c r="AK8" s="53">
        <f t="shared" si="3"/>
        <v>4.8979591836734691E-2</v>
      </c>
      <c r="AL8" s="53">
        <f t="shared" si="3"/>
        <v>4.8979591836734691E-2</v>
      </c>
      <c r="AM8" s="54">
        <f t="shared" si="3"/>
        <v>4.8979591836734691E-2</v>
      </c>
    </row>
    <row r="9" spans="1:260" s="55" customFormat="1" ht="102" customHeight="1" x14ac:dyDescent="0.35">
      <c r="A9" s="42" t="s">
        <v>20</v>
      </c>
      <c r="B9" s="98"/>
      <c r="C9" s="43"/>
      <c r="D9" s="43"/>
      <c r="E9" s="292"/>
      <c r="F9" s="16"/>
      <c r="G9" s="163"/>
      <c r="H9" s="160">
        <v>3.5999999999999999E-3</v>
      </c>
      <c r="I9" s="79">
        <v>3.5999999999999999E-3</v>
      </c>
      <c r="J9" s="79">
        <v>3.5999999999999999E-3</v>
      </c>
      <c r="K9" s="79">
        <v>3.5999999999999999E-3</v>
      </c>
      <c r="L9" s="79">
        <v>3.5999999999999999E-3</v>
      </c>
      <c r="M9" s="45">
        <v>3.5999999999999999E-3</v>
      </c>
      <c r="N9" s="46">
        <v>3.5999999999999999E-3</v>
      </c>
      <c r="O9" s="47">
        <v>3.5999999999999999E-3</v>
      </c>
      <c r="P9" s="47">
        <v>3.5999999999999999E-3</v>
      </c>
      <c r="Q9" s="47">
        <v>3.5999999999999999E-3</v>
      </c>
      <c r="R9" s="47">
        <v>3.5999999999999999E-3</v>
      </c>
      <c r="S9" s="47">
        <v>3.5999999999999999E-3</v>
      </c>
      <c r="T9" s="47">
        <v>3.5999999999999999E-3</v>
      </c>
      <c r="U9" s="47">
        <v>3.5999999999999999E-3</v>
      </c>
      <c r="V9" s="47">
        <v>3.5999999999999999E-3</v>
      </c>
      <c r="W9" s="48">
        <v>3.5999999999999999E-3</v>
      </c>
      <c r="X9" s="49">
        <v>3.5999999999999999E-3</v>
      </c>
      <c r="Y9" s="50">
        <v>3.5999999999999999E-3</v>
      </c>
      <c r="Z9" s="50">
        <v>3.5999999999999999E-3</v>
      </c>
      <c r="AA9" s="50">
        <v>3.5999999999999999E-3</v>
      </c>
      <c r="AB9" s="50">
        <v>3.5999999999999999E-3</v>
      </c>
      <c r="AC9" s="50">
        <v>3.5999999999999999E-3</v>
      </c>
      <c r="AD9" s="50">
        <v>3.5999999999999999E-3</v>
      </c>
      <c r="AE9" s="50">
        <v>3.5999999999999999E-3</v>
      </c>
      <c r="AF9" s="50">
        <v>3.5999999999999999E-3</v>
      </c>
      <c r="AG9" s="51">
        <v>3.5999999999999999E-3</v>
      </c>
      <c r="AH9" s="52">
        <v>3.5999999999999999E-3</v>
      </c>
      <c r="AI9" s="53">
        <v>3.5999999999999999E-3</v>
      </c>
      <c r="AJ9" s="53">
        <v>3.5999999999999999E-3</v>
      </c>
      <c r="AK9" s="53">
        <v>3.5999999999999999E-3</v>
      </c>
      <c r="AL9" s="53">
        <v>3.5999999999999999E-3</v>
      </c>
      <c r="AM9" s="54">
        <v>3.5999999999999999E-3</v>
      </c>
    </row>
    <row r="10" spans="1:260" s="17" customFormat="1" ht="102" customHeight="1" x14ac:dyDescent="0.35">
      <c r="A10" s="15" t="s">
        <v>16</v>
      </c>
      <c r="B10" s="96"/>
      <c r="C10" s="16"/>
      <c r="D10" s="43"/>
      <c r="E10" s="292"/>
      <c r="F10" s="16"/>
      <c r="G10" s="163"/>
      <c r="H10" s="158">
        <f t="shared" ref="H10:AM10" si="4">H4*H9</f>
        <v>244548</v>
      </c>
      <c r="I10" s="18">
        <f t="shared" si="4"/>
        <v>249228</v>
      </c>
      <c r="J10" s="18">
        <f t="shared" si="4"/>
        <v>253980</v>
      </c>
      <c r="K10" s="18">
        <f t="shared" si="4"/>
        <v>258840</v>
      </c>
      <c r="L10" s="18">
        <f t="shared" si="4"/>
        <v>263772</v>
      </c>
      <c r="M10" s="19">
        <f t="shared" si="4"/>
        <v>268812</v>
      </c>
      <c r="N10" s="20">
        <f t="shared" si="4"/>
        <v>273924</v>
      </c>
      <c r="O10" s="21">
        <f t="shared" si="4"/>
        <v>279288</v>
      </c>
      <c r="P10" s="21">
        <f t="shared" si="4"/>
        <v>284976</v>
      </c>
      <c r="Q10" s="21">
        <f t="shared" si="4"/>
        <v>290268</v>
      </c>
      <c r="R10" s="21">
        <f t="shared" si="4"/>
        <v>295812</v>
      </c>
      <c r="S10" s="21">
        <f t="shared" si="4"/>
        <v>301752</v>
      </c>
      <c r="T10" s="21">
        <f t="shared" si="4"/>
        <v>307620</v>
      </c>
      <c r="U10" s="21">
        <f t="shared" si="4"/>
        <v>313236</v>
      </c>
      <c r="V10" s="21">
        <f t="shared" si="4"/>
        <v>319356</v>
      </c>
      <c r="W10" s="22">
        <f t="shared" si="4"/>
        <v>325764</v>
      </c>
      <c r="X10" s="23">
        <f t="shared" si="4"/>
        <v>332676</v>
      </c>
      <c r="Y10" s="24">
        <f t="shared" si="4"/>
        <v>337896</v>
      </c>
      <c r="Z10" s="24">
        <f t="shared" si="4"/>
        <v>343224</v>
      </c>
      <c r="AA10" s="24">
        <f t="shared" si="4"/>
        <v>350028</v>
      </c>
      <c r="AB10" s="24">
        <f t="shared" si="4"/>
        <v>356796</v>
      </c>
      <c r="AC10" s="24">
        <f t="shared" si="4"/>
        <v>361980</v>
      </c>
      <c r="AD10" s="24">
        <f t="shared" si="4"/>
        <v>367056</v>
      </c>
      <c r="AE10" s="24">
        <f t="shared" si="4"/>
        <v>371772</v>
      </c>
      <c r="AF10" s="24">
        <f t="shared" si="4"/>
        <v>376236</v>
      </c>
      <c r="AG10" s="25">
        <f t="shared" si="4"/>
        <v>383256</v>
      </c>
      <c r="AH10" s="26">
        <f t="shared" si="4"/>
        <v>383256</v>
      </c>
      <c r="AI10" s="27">
        <f t="shared" si="4"/>
        <v>390744</v>
      </c>
      <c r="AJ10" s="27">
        <f t="shared" si="4"/>
        <v>396180</v>
      </c>
      <c r="AK10" s="27">
        <f t="shared" si="4"/>
        <v>403020</v>
      </c>
      <c r="AL10" s="27">
        <f t="shared" si="4"/>
        <v>410796</v>
      </c>
      <c r="AM10" s="28">
        <f t="shared" si="4"/>
        <v>416988</v>
      </c>
    </row>
    <row r="11" spans="1:260" s="65" customFormat="1" ht="102" customHeight="1" x14ac:dyDescent="0.25">
      <c r="A11" s="56" t="s">
        <v>21</v>
      </c>
      <c r="B11" s="57"/>
      <c r="C11" s="58"/>
      <c r="D11" s="253"/>
      <c r="E11" s="294"/>
      <c r="F11" s="141"/>
      <c r="G11" s="165"/>
      <c r="H11" s="161">
        <v>5.0000000000000001E-3</v>
      </c>
      <c r="I11" s="79">
        <v>5.0000000000000001E-3</v>
      </c>
      <c r="J11" s="79">
        <v>5.0000000000000001E-3</v>
      </c>
      <c r="K11" s="80">
        <v>2.5000000000000001E-2</v>
      </c>
      <c r="L11" s="81">
        <v>0.05</v>
      </c>
      <c r="M11" s="75">
        <v>7.4999999999999997E-2</v>
      </c>
      <c r="N11" s="66">
        <v>0.1</v>
      </c>
      <c r="O11" s="67">
        <v>0.15</v>
      </c>
      <c r="P11" s="76">
        <v>0.22500000000000001</v>
      </c>
      <c r="Q11" s="67">
        <v>0.3</v>
      </c>
      <c r="R11" s="67">
        <v>0.4</v>
      </c>
      <c r="S11" s="67">
        <v>0.5</v>
      </c>
      <c r="T11" s="67">
        <v>0.55000000000000004</v>
      </c>
      <c r="U11" s="67">
        <v>0.6</v>
      </c>
      <c r="V11" s="67">
        <v>0.65</v>
      </c>
      <c r="W11" s="68">
        <v>0.7</v>
      </c>
      <c r="X11" s="69">
        <v>0.75</v>
      </c>
      <c r="Y11" s="77">
        <v>0.78</v>
      </c>
      <c r="Z11" s="70">
        <v>0.81</v>
      </c>
      <c r="AA11" s="70">
        <v>0.83</v>
      </c>
      <c r="AB11" s="70">
        <v>0.85</v>
      </c>
      <c r="AC11" s="77">
        <v>0.87</v>
      </c>
      <c r="AD11" s="70">
        <v>0.89</v>
      </c>
      <c r="AE11" s="77">
        <v>0.91</v>
      </c>
      <c r="AF11" s="70">
        <v>0.93</v>
      </c>
      <c r="AG11" s="78">
        <v>0.95</v>
      </c>
      <c r="AH11" s="72">
        <v>0.95</v>
      </c>
      <c r="AI11" s="73">
        <v>0.95</v>
      </c>
      <c r="AJ11" s="73">
        <v>0.95</v>
      </c>
      <c r="AK11" s="73">
        <v>0.95</v>
      </c>
      <c r="AL11" s="73">
        <v>0.95</v>
      </c>
      <c r="AM11" s="74">
        <v>0.95</v>
      </c>
    </row>
    <row r="12" spans="1:260" s="65" customFormat="1" ht="102" customHeight="1" x14ac:dyDescent="0.25">
      <c r="A12" s="56" t="s">
        <v>27</v>
      </c>
      <c r="B12" s="57"/>
      <c r="C12" s="58"/>
      <c r="D12" s="253"/>
      <c r="E12" s="294"/>
      <c r="F12" s="141"/>
      <c r="G12" s="165"/>
      <c r="H12" s="162">
        <v>0.5</v>
      </c>
      <c r="I12" s="81">
        <v>0.5</v>
      </c>
      <c r="J12" s="81">
        <v>0.5</v>
      </c>
      <c r="K12" s="80">
        <v>0.5</v>
      </c>
      <c r="L12" s="81">
        <v>0.5</v>
      </c>
      <c r="M12" s="75">
        <v>0.5</v>
      </c>
      <c r="N12" s="66">
        <v>0.5</v>
      </c>
      <c r="O12" s="67">
        <v>0.5</v>
      </c>
      <c r="P12" s="67">
        <v>0.5</v>
      </c>
      <c r="Q12" s="67">
        <v>0.5</v>
      </c>
      <c r="R12" s="67">
        <v>0.5</v>
      </c>
      <c r="S12" s="67">
        <v>0.5</v>
      </c>
      <c r="T12" s="67">
        <v>0.5</v>
      </c>
      <c r="U12" s="67">
        <v>0.5</v>
      </c>
      <c r="V12" s="67">
        <v>0.5</v>
      </c>
      <c r="W12" s="68">
        <v>0.5</v>
      </c>
      <c r="X12" s="69">
        <v>0.5</v>
      </c>
      <c r="Y12" s="70">
        <v>0.5</v>
      </c>
      <c r="Z12" s="70">
        <v>0.5</v>
      </c>
      <c r="AA12" s="70">
        <v>0.5</v>
      </c>
      <c r="AB12" s="70">
        <v>0.5</v>
      </c>
      <c r="AC12" s="70">
        <v>0.5</v>
      </c>
      <c r="AD12" s="70">
        <v>0.5</v>
      </c>
      <c r="AE12" s="70">
        <v>0.5</v>
      </c>
      <c r="AF12" s="70">
        <v>0.5</v>
      </c>
      <c r="AG12" s="71">
        <v>0.5</v>
      </c>
      <c r="AH12" s="72">
        <v>0.5</v>
      </c>
      <c r="AI12" s="73">
        <v>0.5</v>
      </c>
      <c r="AJ12" s="73">
        <v>0.5</v>
      </c>
      <c r="AK12" s="73">
        <v>0.5</v>
      </c>
      <c r="AL12" s="73">
        <v>0.5</v>
      </c>
      <c r="AM12" s="74">
        <v>0.5</v>
      </c>
    </row>
    <row r="13" spans="1:260" s="269" customFormat="1" ht="102" customHeight="1" thickBot="1" x14ac:dyDescent="0.4">
      <c r="A13" s="95" t="s">
        <v>22</v>
      </c>
      <c r="B13" s="99"/>
      <c r="C13" s="100"/>
      <c r="D13" s="254"/>
      <c r="E13" s="295"/>
      <c r="F13" s="100"/>
      <c r="G13" s="166"/>
      <c r="H13" s="257">
        <f>H10*H11*H12</f>
        <v>611.37</v>
      </c>
      <c r="I13" s="258">
        <f t="shared" ref="I13:AM13" si="5">I10*I11*I12</f>
        <v>623.07000000000005</v>
      </c>
      <c r="J13" s="258">
        <f t="shared" si="5"/>
        <v>634.95000000000005</v>
      </c>
      <c r="K13" s="258">
        <f t="shared" si="5"/>
        <v>3235.5</v>
      </c>
      <c r="L13" s="258">
        <f t="shared" si="5"/>
        <v>6594.3</v>
      </c>
      <c r="M13" s="259">
        <f t="shared" si="5"/>
        <v>10080.449999999999</v>
      </c>
      <c r="N13" s="260">
        <f t="shared" si="5"/>
        <v>13696.2</v>
      </c>
      <c r="O13" s="261">
        <f t="shared" si="5"/>
        <v>20946.599999999999</v>
      </c>
      <c r="P13" s="261">
        <f t="shared" si="5"/>
        <v>32059.8</v>
      </c>
      <c r="Q13" s="261">
        <f t="shared" si="5"/>
        <v>43540.2</v>
      </c>
      <c r="R13" s="261">
        <f t="shared" si="5"/>
        <v>59162.400000000001</v>
      </c>
      <c r="S13" s="261">
        <f t="shared" si="5"/>
        <v>75438</v>
      </c>
      <c r="T13" s="261">
        <f t="shared" si="5"/>
        <v>84595.5</v>
      </c>
      <c r="U13" s="261">
        <f t="shared" si="5"/>
        <v>93970.8</v>
      </c>
      <c r="V13" s="261">
        <f t="shared" si="5"/>
        <v>103790.7</v>
      </c>
      <c r="W13" s="262">
        <f t="shared" si="5"/>
        <v>114017.4</v>
      </c>
      <c r="X13" s="263">
        <f t="shared" si="5"/>
        <v>124753.5</v>
      </c>
      <c r="Y13" s="264">
        <f t="shared" si="5"/>
        <v>131779.44</v>
      </c>
      <c r="Z13" s="264">
        <f t="shared" si="5"/>
        <v>139005.72</v>
      </c>
      <c r="AA13" s="264">
        <f t="shared" si="5"/>
        <v>145261.62</v>
      </c>
      <c r="AB13" s="264">
        <f t="shared" si="5"/>
        <v>151638.29999999999</v>
      </c>
      <c r="AC13" s="264">
        <f t="shared" si="5"/>
        <v>157461.29999999999</v>
      </c>
      <c r="AD13" s="264">
        <f t="shared" si="5"/>
        <v>163339.92000000001</v>
      </c>
      <c r="AE13" s="264">
        <f t="shared" si="5"/>
        <v>169156.26</v>
      </c>
      <c r="AF13" s="264">
        <f t="shared" si="5"/>
        <v>174949.74000000002</v>
      </c>
      <c r="AG13" s="265">
        <f t="shared" si="5"/>
        <v>182046.6</v>
      </c>
      <c r="AH13" s="266">
        <f t="shared" si="5"/>
        <v>182046.6</v>
      </c>
      <c r="AI13" s="267">
        <f t="shared" si="5"/>
        <v>185603.4</v>
      </c>
      <c r="AJ13" s="267">
        <f t="shared" si="5"/>
        <v>188185.5</v>
      </c>
      <c r="AK13" s="267">
        <f t="shared" si="5"/>
        <v>191434.5</v>
      </c>
      <c r="AL13" s="267">
        <f t="shared" si="5"/>
        <v>195128.09999999998</v>
      </c>
      <c r="AM13" s="268">
        <f t="shared" si="5"/>
        <v>198069.3</v>
      </c>
    </row>
    <row r="14" spans="1:260" s="17" customFormat="1" ht="102" customHeight="1" thickBot="1" x14ac:dyDescent="0.4">
      <c r="A14" s="313" t="s">
        <v>25</v>
      </c>
      <c r="B14" s="101"/>
      <c r="C14" s="157" t="s">
        <v>26</v>
      </c>
      <c r="D14" s="255" t="s">
        <v>32</v>
      </c>
      <c r="E14" s="315" t="s">
        <v>34</v>
      </c>
      <c r="F14" s="170" t="s">
        <v>28</v>
      </c>
      <c r="G14" s="167"/>
      <c r="H14" s="102"/>
      <c r="I14" s="102"/>
      <c r="J14" s="103"/>
      <c r="K14" s="103"/>
      <c r="L14" s="103"/>
      <c r="M14" s="104"/>
      <c r="N14" s="105"/>
      <c r="O14" s="106"/>
      <c r="P14" s="106"/>
      <c r="Q14" s="106"/>
      <c r="R14" s="106"/>
      <c r="S14" s="106"/>
      <c r="T14" s="106"/>
      <c r="U14" s="106"/>
      <c r="V14" s="106"/>
      <c r="W14" s="107"/>
      <c r="X14" s="108"/>
      <c r="Y14" s="109"/>
      <c r="Z14" s="109"/>
      <c r="AA14" s="109"/>
      <c r="AB14" s="109"/>
      <c r="AC14" s="109"/>
      <c r="AD14" s="109"/>
      <c r="AE14" s="109"/>
      <c r="AF14" s="109"/>
      <c r="AG14" s="110"/>
      <c r="AH14" s="111"/>
      <c r="AI14" s="112"/>
      <c r="AJ14" s="112"/>
      <c r="AK14" s="112"/>
      <c r="AL14" s="112"/>
      <c r="AM14" s="113"/>
    </row>
    <row r="15" spans="1:260" s="125" customFormat="1" ht="99.95" customHeight="1" thickTop="1" thickBot="1" x14ac:dyDescent="0.3">
      <c r="A15" s="409" t="s">
        <v>6</v>
      </c>
      <c r="B15" s="410"/>
      <c r="C15" s="389" t="s">
        <v>8</v>
      </c>
      <c r="D15" s="398">
        <f>F15/$F$43</f>
        <v>7.5464040783508937E-4</v>
      </c>
      <c r="E15" s="400">
        <v>1</v>
      </c>
      <c r="F15" s="397">
        <f>SUM(H16:L16)</f>
        <v>2522.6550000000002</v>
      </c>
      <c r="G15" s="229" t="s">
        <v>29</v>
      </c>
      <c r="H15" s="114">
        <v>1</v>
      </c>
      <c r="I15" s="114">
        <v>1</v>
      </c>
      <c r="J15" s="59">
        <v>1</v>
      </c>
      <c r="K15" s="59">
        <v>0.1</v>
      </c>
      <c r="L15" s="59">
        <v>0.05</v>
      </c>
      <c r="M15" s="115"/>
      <c r="N15" s="116"/>
      <c r="O15" s="60"/>
      <c r="P15" s="117"/>
      <c r="Q15" s="117"/>
      <c r="R15" s="117"/>
      <c r="S15" s="117"/>
      <c r="T15" s="117"/>
      <c r="U15" s="117"/>
      <c r="V15" s="117"/>
      <c r="W15" s="118"/>
      <c r="X15" s="119"/>
      <c r="Y15" s="120"/>
      <c r="Z15" s="120"/>
      <c r="AA15" s="120"/>
      <c r="AB15" s="120"/>
      <c r="AC15" s="120"/>
      <c r="AD15" s="120"/>
      <c r="AE15" s="120"/>
      <c r="AF15" s="120"/>
      <c r="AG15" s="121"/>
      <c r="AH15" s="122"/>
      <c r="AI15" s="123"/>
      <c r="AJ15" s="123"/>
      <c r="AK15" s="123"/>
      <c r="AL15" s="123"/>
      <c r="AM15" s="124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  <c r="IW15" s="65"/>
      <c r="IX15" s="65"/>
      <c r="IY15" s="65"/>
      <c r="IZ15" s="65"/>
    </row>
    <row r="16" spans="1:260" s="138" customFormat="1" ht="99.95" customHeight="1" thickBot="1" x14ac:dyDescent="0.3">
      <c r="A16" s="409"/>
      <c r="B16" s="410"/>
      <c r="C16" s="407"/>
      <c r="D16" s="399"/>
      <c r="E16" s="401"/>
      <c r="F16" s="392"/>
      <c r="G16" s="168" t="s">
        <v>30</v>
      </c>
      <c r="H16" s="144">
        <f>H13*H15</f>
        <v>611.37</v>
      </c>
      <c r="I16" s="144">
        <f>I13*I15</f>
        <v>623.07000000000005</v>
      </c>
      <c r="J16" s="144">
        <f>J13*J15</f>
        <v>634.95000000000005</v>
      </c>
      <c r="K16" s="145">
        <f>K13*K15</f>
        <v>323.55</v>
      </c>
      <c r="L16" s="145">
        <f>L13*L15</f>
        <v>329.71500000000003</v>
      </c>
      <c r="M16" s="146"/>
      <c r="N16" s="147"/>
      <c r="O16" s="148"/>
      <c r="P16" s="149"/>
      <c r="Q16" s="149"/>
      <c r="R16" s="149"/>
      <c r="S16" s="149"/>
      <c r="T16" s="149"/>
      <c r="U16" s="149"/>
      <c r="V16" s="149"/>
      <c r="W16" s="150"/>
      <c r="X16" s="151"/>
      <c r="Y16" s="152"/>
      <c r="Z16" s="152"/>
      <c r="AA16" s="152"/>
      <c r="AB16" s="152"/>
      <c r="AC16" s="152"/>
      <c r="AD16" s="152"/>
      <c r="AE16" s="152"/>
      <c r="AF16" s="152"/>
      <c r="AG16" s="153"/>
      <c r="AH16" s="154"/>
      <c r="AI16" s="155"/>
      <c r="AJ16" s="155"/>
      <c r="AK16" s="155"/>
      <c r="AL16" s="155"/>
      <c r="AM16" s="156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  <c r="IT16" s="137"/>
      <c r="IU16" s="137"/>
      <c r="IV16" s="137"/>
      <c r="IW16" s="137"/>
      <c r="IX16" s="137"/>
      <c r="IY16" s="137"/>
      <c r="IZ16" s="137"/>
    </row>
    <row r="17" spans="1:261" s="130" customFormat="1" ht="99.95" customHeight="1" thickBot="1" x14ac:dyDescent="0.3">
      <c r="A17" s="385" t="s">
        <v>3</v>
      </c>
      <c r="B17" s="386"/>
      <c r="C17" s="388" t="s">
        <v>8</v>
      </c>
      <c r="D17" s="374">
        <f>F17/$F$43</f>
        <v>1.4241446592044507E-2</v>
      </c>
      <c r="E17" s="378">
        <v>5</v>
      </c>
      <c r="F17" s="394">
        <f>SUM(K18:S18)</f>
        <v>47607.119999999995</v>
      </c>
      <c r="G17" s="230" t="s">
        <v>29</v>
      </c>
      <c r="H17" s="126"/>
      <c r="I17" s="126"/>
      <c r="J17" s="126"/>
      <c r="K17" s="59">
        <v>0.9</v>
      </c>
      <c r="L17" s="59">
        <v>0.9</v>
      </c>
      <c r="M17" s="143">
        <v>0.8</v>
      </c>
      <c r="N17" s="116">
        <v>0.4</v>
      </c>
      <c r="O17" s="117">
        <v>0.2</v>
      </c>
      <c r="P17" s="117">
        <v>0.15</v>
      </c>
      <c r="Q17" s="117">
        <v>0.15</v>
      </c>
      <c r="R17" s="117">
        <v>0.1</v>
      </c>
      <c r="S17" s="117">
        <v>0.05</v>
      </c>
      <c r="T17" s="117"/>
      <c r="U17" s="117"/>
      <c r="V17" s="117"/>
      <c r="W17" s="118"/>
      <c r="X17" s="119"/>
      <c r="Y17" s="120"/>
      <c r="Z17" s="120"/>
      <c r="AA17" s="120"/>
      <c r="AB17" s="120"/>
      <c r="AC17" s="120"/>
      <c r="AD17" s="120"/>
      <c r="AE17" s="120"/>
      <c r="AF17" s="120"/>
      <c r="AG17" s="121"/>
      <c r="AH17" s="122"/>
      <c r="AI17" s="123"/>
      <c r="AJ17" s="123"/>
      <c r="AK17" s="123"/>
      <c r="AL17" s="123"/>
      <c r="AM17" s="124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  <c r="IV17" s="65"/>
      <c r="IW17" s="65"/>
      <c r="IX17" s="65"/>
      <c r="IY17" s="65"/>
      <c r="IZ17" s="65"/>
    </row>
    <row r="18" spans="1:261" s="139" customFormat="1" ht="99.95" customHeight="1" thickBot="1" x14ac:dyDescent="0.3">
      <c r="A18" s="385"/>
      <c r="B18" s="386"/>
      <c r="C18" s="389"/>
      <c r="D18" s="387"/>
      <c r="E18" s="379"/>
      <c r="F18" s="395"/>
      <c r="G18" s="231" t="s">
        <v>30</v>
      </c>
      <c r="H18" s="171"/>
      <c r="I18" s="171"/>
      <c r="J18" s="171"/>
      <c r="K18" s="172">
        <f>K13*K17</f>
        <v>2911.9500000000003</v>
      </c>
      <c r="L18" s="172">
        <f t="shared" ref="L18:Q18" si="6">L13*L17</f>
        <v>5934.87</v>
      </c>
      <c r="M18" s="173">
        <f t="shared" si="6"/>
        <v>8064.36</v>
      </c>
      <c r="N18" s="174">
        <f t="shared" si="6"/>
        <v>5478.4800000000005</v>
      </c>
      <c r="O18" s="175">
        <f t="shared" si="6"/>
        <v>4189.32</v>
      </c>
      <c r="P18" s="175">
        <f t="shared" si="6"/>
        <v>4808.9699999999993</v>
      </c>
      <c r="Q18" s="175">
        <f t="shared" si="6"/>
        <v>6531.03</v>
      </c>
      <c r="R18" s="175">
        <f>R13*R17</f>
        <v>5916.2400000000007</v>
      </c>
      <c r="S18" s="175">
        <f>S13*S17</f>
        <v>3771.9</v>
      </c>
      <c r="T18" s="175"/>
      <c r="U18" s="175"/>
      <c r="V18" s="175"/>
      <c r="W18" s="176"/>
      <c r="X18" s="177"/>
      <c r="Y18" s="178"/>
      <c r="Z18" s="178"/>
      <c r="AA18" s="178"/>
      <c r="AB18" s="178"/>
      <c r="AC18" s="178"/>
      <c r="AD18" s="178"/>
      <c r="AE18" s="178"/>
      <c r="AF18" s="178"/>
      <c r="AG18" s="179"/>
      <c r="AH18" s="180"/>
      <c r="AI18" s="181"/>
      <c r="AJ18" s="181"/>
      <c r="AK18" s="181"/>
      <c r="AL18" s="181"/>
      <c r="AM18" s="182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  <c r="IT18" s="137"/>
      <c r="IU18" s="137"/>
      <c r="IV18" s="137"/>
      <c r="IW18" s="137"/>
      <c r="IX18" s="137"/>
      <c r="IY18" s="137"/>
      <c r="IZ18" s="137"/>
    </row>
    <row r="19" spans="1:261" s="130" customFormat="1" ht="99.95" customHeight="1" thickBot="1" x14ac:dyDescent="0.3">
      <c r="A19" s="385" t="s">
        <v>4</v>
      </c>
      <c r="B19" s="386"/>
      <c r="C19" s="388" t="s">
        <v>31</v>
      </c>
      <c r="D19" s="374">
        <f>F19/$F$43</f>
        <v>8.2830598702479941E-3</v>
      </c>
      <c r="E19" s="378">
        <v>4</v>
      </c>
      <c r="F19" s="394">
        <f>SUM(M20:P20)</f>
        <v>27689.084999999999</v>
      </c>
      <c r="G19" s="230" t="s">
        <v>29</v>
      </c>
      <c r="H19" s="183"/>
      <c r="I19" s="184"/>
      <c r="J19" s="184"/>
      <c r="K19" s="185"/>
      <c r="L19" s="185"/>
      <c r="M19" s="186">
        <v>0.1</v>
      </c>
      <c r="N19" s="187">
        <v>0.4</v>
      </c>
      <c r="O19" s="188">
        <v>0.4</v>
      </c>
      <c r="P19" s="188">
        <v>0.4</v>
      </c>
      <c r="Q19" s="188"/>
      <c r="R19" s="188"/>
      <c r="S19" s="188"/>
      <c r="T19" s="188"/>
      <c r="U19" s="188"/>
      <c r="V19" s="188"/>
      <c r="W19" s="189"/>
      <c r="X19" s="190"/>
      <c r="Y19" s="191"/>
      <c r="Z19" s="191"/>
      <c r="AA19" s="191"/>
      <c r="AB19" s="191"/>
      <c r="AC19" s="191"/>
      <c r="AD19" s="191"/>
      <c r="AE19" s="191"/>
      <c r="AF19" s="191"/>
      <c r="AG19" s="192"/>
      <c r="AH19" s="193"/>
      <c r="AI19" s="194"/>
      <c r="AJ19" s="194"/>
      <c r="AK19" s="194"/>
      <c r="AL19" s="194"/>
      <c r="AM19" s="19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  <c r="IV19" s="65"/>
      <c r="IW19" s="65"/>
      <c r="IX19" s="65"/>
      <c r="IY19" s="65"/>
      <c r="IZ19" s="65"/>
    </row>
    <row r="20" spans="1:261" s="138" customFormat="1" ht="99.95" customHeight="1" thickBot="1" x14ac:dyDescent="0.3">
      <c r="A20" s="385"/>
      <c r="B20" s="386"/>
      <c r="C20" s="389"/>
      <c r="D20" s="387"/>
      <c r="E20" s="379"/>
      <c r="F20" s="395"/>
      <c r="G20" s="231" t="s">
        <v>30</v>
      </c>
      <c r="H20" s="196"/>
      <c r="I20" s="197"/>
      <c r="J20" s="197"/>
      <c r="K20" s="145"/>
      <c r="L20" s="145"/>
      <c r="M20" s="198">
        <f>M13*M19</f>
        <v>1008.045</v>
      </c>
      <c r="N20" s="199">
        <f>N13*N19</f>
        <v>5478.4800000000005</v>
      </c>
      <c r="O20" s="200">
        <f>O13*O19</f>
        <v>8378.64</v>
      </c>
      <c r="P20" s="200">
        <f>P13*P19</f>
        <v>12823.92</v>
      </c>
      <c r="Q20" s="200"/>
      <c r="R20" s="200"/>
      <c r="S20" s="200"/>
      <c r="T20" s="200"/>
      <c r="U20" s="200"/>
      <c r="V20" s="200"/>
      <c r="W20" s="201"/>
      <c r="X20" s="151"/>
      <c r="Y20" s="152"/>
      <c r="Z20" s="152"/>
      <c r="AA20" s="152"/>
      <c r="AB20" s="152"/>
      <c r="AC20" s="152"/>
      <c r="AD20" s="152"/>
      <c r="AE20" s="152"/>
      <c r="AF20" s="152"/>
      <c r="AG20" s="153"/>
      <c r="AH20" s="154"/>
      <c r="AI20" s="155"/>
      <c r="AJ20" s="155"/>
      <c r="AK20" s="155"/>
      <c r="AL20" s="155"/>
      <c r="AM20" s="156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  <c r="IR20" s="137"/>
      <c r="IS20" s="137"/>
      <c r="IT20" s="137"/>
      <c r="IU20" s="137"/>
      <c r="IV20" s="137"/>
      <c r="IW20" s="137"/>
      <c r="IX20" s="137"/>
      <c r="IY20" s="137"/>
      <c r="IZ20" s="137"/>
      <c r="JA20" s="137"/>
    </row>
    <row r="21" spans="1:261" s="125" customFormat="1" ht="99.95" customHeight="1" thickBot="1" x14ac:dyDescent="0.3">
      <c r="A21" s="415" t="s">
        <v>35</v>
      </c>
      <c r="B21" s="416"/>
      <c r="C21" s="388"/>
      <c r="D21" s="374">
        <f>F21/$F$43</f>
        <v>8.5529263016285023E-2</v>
      </c>
      <c r="E21" s="378">
        <v>9</v>
      </c>
      <c r="F21" s="394">
        <f>SUM(H22:AM22)</f>
        <v>285912.09900000005</v>
      </c>
      <c r="G21" s="230">
        <v>10</v>
      </c>
      <c r="H21" s="114"/>
      <c r="I21" s="114"/>
      <c r="J21" s="126"/>
      <c r="K21" s="59"/>
      <c r="L21" s="59">
        <v>0.05</v>
      </c>
      <c r="M21" s="186">
        <v>0.1</v>
      </c>
      <c r="N21" s="116">
        <v>0.2</v>
      </c>
      <c r="O21" s="117">
        <v>0.2</v>
      </c>
      <c r="P21" s="117">
        <v>0.3</v>
      </c>
      <c r="Q21" s="117">
        <v>0.3</v>
      </c>
      <c r="R21" s="117">
        <v>0.3</v>
      </c>
      <c r="S21" s="117">
        <v>0.25</v>
      </c>
      <c r="T21" s="117">
        <v>0.2</v>
      </c>
      <c r="U21" s="117">
        <v>0.15</v>
      </c>
      <c r="V21" s="117">
        <v>0.15</v>
      </c>
      <c r="W21" s="118">
        <v>0.15</v>
      </c>
      <c r="X21" s="119">
        <v>0.15</v>
      </c>
      <c r="Y21" s="120">
        <v>0.15</v>
      </c>
      <c r="Z21" s="120">
        <v>0.15</v>
      </c>
      <c r="AA21" s="120">
        <v>0.15</v>
      </c>
      <c r="AB21" s="120">
        <v>0.1</v>
      </c>
      <c r="AC21" s="120">
        <v>0.1</v>
      </c>
      <c r="AD21" s="120">
        <v>0.1</v>
      </c>
      <c r="AE21" s="120">
        <v>0.05</v>
      </c>
      <c r="AF21" s="120">
        <v>0.05</v>
      </c>
      <c r="AG21" s="121">
        <v>0.05</v>
      </c>
      <c r="AH21" s="131"/>
      <c r="AI21" s="132"/>
      <c r="AJ21" s="133"/>
      <c r="AK21" s="133"/>
      <c r="AL21" s="133"/>
      <c r="AM21" s="134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  <c r="IW21" s="65"/>
      <c r="IX21" s="65"/>
      <c r="IY21" s="65"/>
      <c r="IZ21" s="65"/>
      <c r="JA21" s="65"/>
    </row>
    <row r="22" spans="1:261" s="4" customFormat="1" ht="99.95" customHeight="1" thickBot="1" x14ac:dyDescent="0.3">
      <c r="A22" s="415"/>
      <c r="B22" s="416"/>
      <c r="C22" s="389"/>
      <c r="D22" s="387"/>
      <c r="E22" s="379"/>
      <c r="F22" s="392"/>
      <c r="G22" s="168" t="s">
        <v>30</v>
      </c>
      <c r="H22" s="202"/>
      <c r="I22" s="202"/>
      <c r="J22" s="203"/>
      <c r="K22" s="11"/>
      <c r="L22" s="320">
        <f>L13*L21</f>
        <v>329.71500000000003</v>
      </c>
      <c r="M22" s="321">
        <f>M13*M21</f>
        <v>1008.045</v>
      </c>
      <c r="N22" s="174">
        <f>N13*N21</f>
        <v>2739.2400000000002</v>
      </c>
      <c r="O22" s="175">
        <f t="shared" ref="O22:AG22" si="7">O13*O21</f>
        <v>4189.32</v>
      </c>
      <c r="P22" s="175">
        <f t="shared" si="7"/>
        <v>9617.9399999999987</v>
      </c>
      <c r="Q22" s="175">
        <f t="shared" si="7"/>
        <v>13062.06</v>
      </c>
      <c r="R22" s="175">
        <f t="shared" si="7"/>
        <v>17748.72</v>
      </c>
      <c r="S22" s="175">
        <f t="shared" si="7"/>
        <v>18859.5</v>
      </c>
      <c r="T22" s="175">
        <f t="shared" si="7"/>
        <v>16919.100000000002</v>
      </c>
      <c r="U22" s="175">
        <f t="shared" si="7"/>
        <v>14095.62</v>
      </c>
      <c r="V22" s="175">
        <f t="shared" si="7"/>
        <v>15568.605</v>
      </c>
      <c r="W22" s="176">
        <f t="shared" si="7"/>
        <v>17102.609999999997</v>
      </c>
      <c r="X22" s="223">
        <f t="shared" si="7"/>
        <v>18713.024999999998</v>
      </c>
      <c r="Y22" s="224">
        <f t="shared" si="7"/>
        <v>19766.916000000001</v>
      </c>
      <c r="Z22" s="224">
        <f t="shared" si="7"/>
        <v>20850.858</v>
      </c>
      <c r="AA22" s="224">
        <f t="shared" si="7"/>
        <v>21789.242999999999</v>
      </c>
      <c r="AB22" s="224">
        <f t="shared" si="7"/>
        <v>15163.83</v>
      </c>
      <c r="AC22" s="224">
        <f t="shared" si="7"/>
        <v>15746.13</v>
      </c>
      <c r="AD22" s="224">
        <f t="shared" si="7"/>
        <v>16333.992000000002</v>
      </c>
      <c r="AE22" s="224">
        <f t="shared" si="7"/>
        <v>8457.8130000000001</v>
      </c>
      <c r="AF22" s="224">
        <f t="shared" si="7"/>
        <v>8747.487000000001</v>
      </c>
      <c r="AG22" s="225">
        <f t="shared" si="7"/>
        <v>9102.33</v>
      </c>
      <c r="AH22" s="205"/>
      <c r="AI22" s="206"/>
      <c r="AJ22" s="207"/>
      <c r="AK22" s="207"/>
      <c r="AL22" s="207"/>
      <c r="AM22" s="208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</row>
    <row r="23" spans="1:261" s="125" customFormat="1" ht="99.95" customHeight="1" thickBot="1" x14ac:dyDescent="0.3">
      <c r="A23" s="411" t="s">
        <v>9</v>
      </c>
      <c r="B23" s="412"/>
      <c r="C23" s="388" t="s">
        <v>8</v>
      </c>
      <c r="D23" s="374">
        <f>F23/$F$43</f>
        <v>3.9942808921317186E-3</v>
      </c>
      <c r="E23" s="378">
        <v>3</v>
      </c>
      <c r="F23" s="394">
        <f>SUM(H24:AM24)</f>
        <v>13352.309999999998</v>
      </c>
      <c r="G23" s="230" t="s">
        <v>29</v>
      </c>
      <c r="H23" s="183"/>
      <c r="I23" s="184"/>
      <c r="J23" s="184"/>
      <c r="K23" s="209"/>
      <c r="L23" s="209"/>
      <c r="M23" s="210"/>
      <c r="N23" s="187"/>
      <c r="O23" s="319">
        <v>0.2</v>
      </c>
      <c r="P23" s="188">
        <v>0.15</v>
      </c>
      <c r="Q23" s="188">
        <v>0.1</v>
      </c>
      <c r="R23" s="188"/>
      <c r="S23" s="188"/>
      <c r="T23" s="188"/>
      <c r="U23" s="188"/>
      <c r="V23" s="188"/>
      <c r="W23" s="189"/>
      <c r="X23" s="190"/>
      <c r="Y23" s="191"/>
      <c r="Z23" s="191"/>
      <c r="AA23" s="191"/>
      <c r="AB23" s="191"/>
      <c r="AC23" s="191"/>
      <c r="AD23" s="191"/>
      <c r="AE23" s="191"/>
      <c r="AF23" s="191"/>
      <c r="AG23" s="192"/>
      <c r="AH23" s="193"/>
      <c r="AI23" s="194"/>
      <c r="AJ23" s="194"/>
      <c r="AK23" s="194"/>
      <c r="AL23" s="194"/>
      <c r="AM23" s="19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  <c r="IV23" s="65"/>
      <c r="IW23" s="65"/>
      <c r="IX23" s="65"/>
      <c r="IY23" s="65"/>
      <c r="IZ23" s="65"/>
    </row>
    <row r="24" spans="1:261" s="138" customFormat="1" ht="99.95" customHeight="1" thickBot="1" x14ac:dyDescent="0.3">
      <c r="A24" s="413"/>
      <c r="B24" s="414"/>
      <c r="C24" s="408"/>
      <c r="D24" s="387"/>
      <c r="E24" s="379"/>
      <c r="F24" s="395"/>
      <c r="G24" s="231" t="s">
        <v>30</v>
      </c>
      <c r="H24" s="322"/>
      <c r="I24" s="211"/>
      <c r="J24" s="216"/>
      <c r="K24" s="217"/>
      <c r="L24" s="217"/>
      <c r="M24" s="218"/>
      <c r="N24" s="219"/>
      <c r="O24" s="220">
        <f>O13*O23</f>
        <v>4189.32</v>
      </c>
      <c r="P24" s="221">
        <f>P13*P23</f>
        <v>4808.9699999999993</v>
      </c>
      <c r="Q24" s="221">
        <f>Q13*Q23</f>
        <v>4354.0199999999995</v>
      </c>
      <c r="R24" s="221"/>
      <c r="S24" s="221"/>
      <c r="T24" s="221"/>
      <c r="U24" s="221"/>
      <c r="V24" s="221"/>
      <c r="W24" s="222"/>
      <c r="X24" s="223"/>
      <c r="Y24" s="224"/>
      <c r="Z24" s="224"/>
      <c r="AA24" s="224"/>
      <c r="AB24" s="224"/>
      <c r="AC24" s="224"/>
      <c r="AD24" s="224"/>
      <c r="AE24" s="224"/>
      <c r="AF24" s="224"/>
      <c r="AG24" s="225"/>
      <c r="AH24" s="226"/>
      <c r="AI24" s="227"/>
      <c r="AJ24" s="227"/>
      <c r="AK24" s="227"/>
      <c r="AL24" s="227"/>
      <c r="AM24" s="228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37"/>
      <c r="IW24" s="137"/>
      <c r="IX24" s="137"/>
      <c r="IY24" s="137"/>
      <c r="IZ24" s="137"/>
    </row>
    <row r="25" spans="1:261" s="130" customFormat="1" ht="99.95" customHeight="1" thickBot="1" x14ac:dyDescent="0.3">
      <c r="A25" s="385" t="s">
        <v>24</v>
      </c>
      <c r="B25" s="386"/>
      <c r="C25" s="388" t="s">
        <v>8</v>
      </c>
      <c r="D25" s="374">
        <f>F25/$F$43</f>
        <v>1.5361500472661552E-3</v>
      </c>
      <c r="E25" s="378">
        <v>2</v>
      </c>
      <c r="F25" s="394">
        <f>SUM(H26:AM26)</f>
        <v>5135.13</v>
      </c>
      <c r="G25" s="230" t="s">
        <v>29</v>
      </c>
      <c r="H25" s="126"/>
      <c r="I25" s="126"/>
      <c r="J25" s="209"/>
      <c r="K25" s="209"/>
      <c r="L25" s="209"/>
      <c r="M25" s="210"/>
      <c r="N25" s="187"/>
      <c r="O25" s="188"/>
      <c r="P25" s="188"/>
      <c r="Q25" s="188">
        <v>0.05</v>
      </c>
      <c r="R25" s="188">
        <v>0.05</v>
      </c>
      <c r="S25" s="188"/>
      <c r="T25" s="188"/>
      <c r="U25" s="188"/>
      <c r="V25" s="188"/>
      <c r="W25" s="189"/>
      <c r="X25" s="190"/>
      <c r="Y25" s="191"/>
      <c r="Z25" s="191"/>
      <c r="AA25" s="191"/>
      <c r="AB25" s="191"/>
      <c r="AC25" s="191"/>
      <c r="AD25" s="191"/>
      <c r="AE25" s="191"/>
      <c r="AF25" s="191"/>
      <c r="AG25" s="192"/>
      <c r="AH25" s="193"/>
      <c r="AI25" s="194"/>
      <c r="AJ25" s="194"/>
      <c r="AK25" s="194"/>
      <c r="AL25" s="194"/>
      <c r="AM25" s="19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  <c r="IW25" s="65"/>
      <c r="IX25" s="65"/>
      <c r="IY25" s="65"/>
      <c r="IZ25" s="65"/>
    </row>
    <row r="26" spans="1:261" s="6" customFormat="1" ht="99.95" customHeight="1" thickBot="1" x14ac:dyDescent="0.3">
      <c r="A26" s="385"/>
      <c r="B26" s="386"/>
      <c r="C26" s="389"/>
      <c r="D26" s="387"/>
      <c r="E26" s="379"/>
      <c r="F26" s="395"/>
      <c r="G26" s="231" t="s">
        <v>30</v>
      </c>
      <c r="H26" s="323"/>
      <c r="I26" s="323"/>
      <c r="J26" s="324"/>
      <c r="K26" s="324"/>
      <c r="L26" s="324"/>
      <c r="M26" s="325"/>
      <c r="N26" s="326"/>
      <c r="O26" s="327"/>
      <c r="P26" s="327"/>
      <c r="Q26" s="175">
        <f>Q13*Q25</f>
        <v>2177.0099999999998</v>
      </c>
      <c r="R26" s="175">
        <f>R13*R25</f>
        <v>2958.1200000000003</v>
      </c>
      <c r="S26" s="327"/>
      <c r="T26" s="327"/>
      <c r="U26" s="327"/>
      <c r="V26" s="327"/>
      <c r="W26" s="328"/>
      <c r="X26" s="329"/>
      <c r="Y26" s="330"/>
      <c r="Z26" s="330"/>
      <c r="AA26" s="330"/>
      <c r="AB26" s="330"/>
      <c r="AC26" s="330"/>
      <c r="AD26" s="330"/>
      <c r="AE26" s="330"/>
      <c r="AF26" s="330"/>
      <c r="AG26" s="331"/>
      <c r="AH26" s="332"/>
      <c r="AI26" s="333"/>
      <c r="AJ26" s="333"/>
      <c r="AK26" s="333"/>
      <c r="AL26" s="333"/>
      <c r="AM26" s="334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</row>
    <row r="27" spans="1:261" s="130" customFormat="1" ht="99.95" customHeight="1" thickBot="1" x14ac:dyDescent="0.3">
      <c r="A27" s="385" t="s">
        <v>1</v>
      </c>
      <c r="B27" s="386"/>
      <c r="C27" s="388" t="s">
        <v>8</v>
      </c>
      <c r="D27" s="374">
        <f>F27/$F$43</f>
        <v>0.11671375243734622</v>
      </c>
      <c r="E27" s="378">
        <v>13</v>
      </c>
      <c r="F27" s="394">
        <f>SUM(H28:AM28)</f>
        <v>390157.38900000002</v>
      </c>
      <c r="G27" s="230" t="s">
        <v>29</v>
      </c>
      <c r="H27" s="183"/>
      <c r="I27" s="184"/>
      <c r="J27" s="209"/>
      <c r="K27" s="209"/>
      <c r="L27" s="209"/>
      <c r="M27" s="210"/>
      <c r="N27" s="187"/>
      <c r="O27" s="188"/>
      <c r="P27" s="188"/>
      <c r="Q27" s="188">
        <v>0.4</v>
      </c>
      <c r="R27" s="188">
        <v>0.3</v>
      </c>
      <c r="S27" s="188">
        <v>0.3</v>
      </c>
      <c r="T27" s="188">
        <v>0.3</v>
      </c>
      <c r="U27" s="188">
        <v>0.25</v>
      </c>
      <c r="V27" s="188">
        <v>0.25</v>
      </c>
      <c r="W27" s="189">
        <v>0.25</v>
      </c>
      <c r="X27" s="190">
        <v>0.25</v>
      </c>
      <c r="Y27" s="191">
        <v>0.25</v>
      </c>
      <c r="Z27" s="191">
        <v>0.2</v>
      </c>
      <c r="AA27" s="191">
        <v>0.15</v>
      </c>
      <c r="AB27" s="191">
        <v>0.15</v>
      </c>
      <c r="AC27" s="335">
        <v>0.15</v>
      </c>
      <c r="AD27" s="335">
        <v>0.1</v>
      </c>
      <c r="AE27" s="335">
        <v>0.1</v>
      </c>
      <c r="AF27" s="335">
        <v>0.1</v>
      </c>
      <c r="AG27" s="336">
        <v>0.05</v>
      </c>
      <c r="AH27" s="337">
        <v>0.05</v>
      </c>
      <c r="AI27" s="194"/>
      <c r="AJ27" s="194"/>
      <c r="AK27" s="194"/>
      <c r="AL27" s="194"/>
      <c r="AM27" s="19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  <c r="IW27" s="65"/>
      <c r="IX27" s="65"/>
      <c r="IY27" s="65"/>
      <c r="IZ27" s="65"/>
    </row>
    <row r="28" spans="1:261" s="4" customFormat="1" ht="99.95" customHeight="1" thickBot="1" x14ac:dyDescent="0.3">
      <c r="A28" s="385"/>
      <c r="B28" s="386"/>
      <c r="C28" s="389"/>
      <c r="D28" s="387"/>
      <c r="E28" s="379"/>
      <c r="F28" s="395"/>
      <c r="G28" s="231" t="s">
        <v>30</v>
      </c>
      <c r="H28" s="338"/>
      <c r="I28" s="339"/>
      <c r="J28" s="339"/>
      <c r="K28" s="340"/>
      <c r="L28" s="340"/>
      <c r="M28" s="341"/>
      <c r="N28" s="342"/>
      <c r="O28" s="343"/>
      <c r="P28" s="343"/>
      <c r="Q28" s="200">
        <f t="shared" ref="Q28:AH28" si="8">Q13*Q27</f>
        <v>17416.079999999998</v>
      </c>
      <c r="R28" s="200">
        <f t="shared" si="8"/>
        <v>17748.72</v>
      </c>
      <c r="S28" s="200">
        <f t="shared" si="8"/>
        <v>22631.399999999998</v>
      </c>
      <c r="T28" s="200">
        <f t="shared" si="8"/>
        <v>25378.649999999998</v>
      </c>
      <c r="U28" s="200">
        <f t="shared" si="8"/>
        <v>23492.7</v>
      </c>
      <c r="V28" s="200">
        <f t="shared" si="8"/>
        <v>25947.674999999999</v>
      </c>
      <c r="W28" s="201">
        <f t="shared" si="8"/>
        <v>28504.35</v>
      </c>
      <c r="X28" s="212">
        <f t="shared" si="8"/>
        <v>31188.375</v>
      </c>
      <c r="Y28" s="213">
        <f t="shared" si="8"/>
        <v>32944.86</v>
      </c>
      <c r="Z28" s="213">
        <f t="shared" si="8"/>
        <v>27801.144</v>
      </c>
      <c r="AA28" s="213">
        <f t="shared" si="8"/>
        <v>21789.242999999999</v>
      </c>
      <c r="AB28" s="213">
        <f t="shared" si="8"/>
        <v>22745.744999999999</v>
      </c>
      <c r="AC28" s="344">
        <f t="shared" si="8"/>
        <v>23619.194999999996</v>
      </c>
      <c r="AD28" s="344">
        <f t="shared" si="8"/>
        <v>16333.992000000002</v>
      </c>
      <c r="AE28" s="344">
        <f t="shared" si="8"/>
        <v>16915.626</v>
      </c>
      <c r="AF28" s="344">
        <f t="shared" si="8"/>
        <v>17494.974000000002</v>
      </c>
      <c r="AG28" s="345">
        <f t="shared" si="8"/>
        <v>9102.33</v>
      </c>
      <c r="AH28" s="346">
        <f t="shared" si="8"/>
        <v>9102.33</v>
      </c>
      <c r="AI28" s="347"/>
      <c r="AJ28" s="347"/>
      <c r="AK28" s="347"/>
      <c r="AL28" s="347"/>
      <c r="AM28" s="348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</row>
    <row r="29" spans="1:261" s="125" customFormat="1" ht="99.95" customHeight="1" thickBot="1" x14ac:dyDescent="0.3">
      <c r="A29" s="385" t="s">
        <v>2</v>
      </c>
      <c r="B29" s="386"/>
      <c r="C29" s="388"/>
      <c r="D29" s="374">
        <f>F29/$F$43</f>
        <v>9.9917973459014556E-2</v>
      </c>
      <c r="E29" s="378">
        <v>10</v>
      </c>
      <c r="F29" s="394">
        <f>SUM(H30:AM30)</f>
        <v>334011.50099999999</v>
      </c>
      <c r="G29" s="230" t="s">
        <v>29</v>
      </c>
      <c r="H29" s="126"/>
      <c r="I29" s="126"/>
      <c r="J29" s="126"/>
      <c r="K29" s="127"/>
      <c r="L29" s="127"/>
      <c r="M29" s="115"/>
      <c r="N29" s="135"/>
      <c r="O29" s="60"/>
      <c r="P29" s="136"/>
      <c r="Q29" s="117"/>
      <c r="R29" s="117"/>
      <c r="S29" s="117">
        <v>0.1</v>
      </c>
      <c r="T29" s="117">
        <v>0.2</v>
      </c>
      <c r="U29" s="117">
        <v>0.2</v>
      </c>
      <c r="V29" s="117">
        <v>0.2</v>
      </c>
      <c r="W29" s="118">
        <v>0.2</v>
      </c>
      <c r="X29" s="119">
        <v>0.2</v>
      </c>
      <c r="Y29" s="120">
        <v>0.2</v>
      </c>
      <c r="Z29" s="120">
        <v>0.2</v>
      </c>
      <c r="AA29" s="120">
        <v>0.2</v>
      </c>
      <c r="AB29" s="120">
        <v>0.1</v>
      </c>
      <c r="AC29" s="61">
        <v>0.1</v>
      </c>
      <c r="AD29" s="61">
        <v>0.1</v>
      </c>
      <c r="AE29" s="61">
        <v>0.1</v>
      </c>
      <c r="AF29" s="61">
        <v>0.05</v>
      </c>
      <c r="AG29" s="62">
        <v>0.05</v>
      </c>
      <c r="AH29" s="63">
        <v>0.05</v>
      </c>
      <c r="AI29" s="123">
        <v>0.05</v>
      </c>
      <c r="AJ29" s="123">
        <v>0.05</v>
      </c>
      <c r="AK29" s="123">
        <v>0.05</v>
      </c>
      <c r="AL29" s="123">
        <v>0.05</v>
      </c>
      <c r="AM29" s="124">
        <v>0.05</v>
      </c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  <c r="IW29" s="65"/>
      <c r="IX29" s="65"/>
      <c r="IY29" s="65"/>
      <c r="IZ29" s="65"/>
      <c r="JA29" s="65"/>
    </row>
    <row r="30" spans="1:261" s="4" customFormat="1" ht="99.95" customHeight="1" thickBot="1" x14ac:dyDescent="0.3">
      <c r="A30" s="385"/>
      <c r="B30" s="386"/>
      <c r="C30" s="389"/>
      <c r="D30" s="387"/>
      <c r="E30" s="379"/>
      <c r="F30" s="395"/>
      <c r="G30" s="231" t="s">
        <v>30</v>
      </c>
      <c r="H30" s="203"/>
      <c r="I30" s="203"/>
      <c r="J30" s="203"/>
      <c r="K30" s="349"/>
      <c r="L30" s="349"/>
      <c r="M30" s="204"/>
      <c r="N30" s="350"/>
      <c r="O30" s="351"/>
      <c r="P30" s="352"/>
      <c r="Q30" s="353"/>
      <c r="R30" s="327"/>
      <c r="S30" s="175">
        <f t="shared" ref="S30:AM30" si="9">S13*S29</f>
        <v>7543.8</v>
      </c>
      <c r="T30" s="175">
        <f t="shared" si="9"/>
        <v>16919.100000000002</v>
      </c>
      <c r="U30" s="175">
        <f t="shared" si="9"/>
        <v>18794.16</v>
      </c>
      <c r="V30" s="175">
        <f t="shared" si="9"/>
        <v>20758.14</v>
      </c>
      <c r="W30" s="176">
        <f t="shared" si="9"/>
        <v>22803.48</v>
      </c>
      <c r="X30" s="177">
        <f t="shared" si="9"/>
        <v>24950.7</v>
      </c>
      <c r="Y30" s="178">
        <f t="shared" si="9"/>
        <v>26355.888000000003</v>
      </c>
      <c r="Z30" s="178">
        <f t="shared" si="9"/>
        <v>27801.144</v>
      </c>
      <c r="AA30" s="178">
        <f t="shared" si="9"/>
        <v>29052.324000000001</v>
      </c>
      <c r="AB30" s="178">
        <f t="shared" si="9"/>
        <v>15163.83</v>
      </c>
      <c r="AC30" s="354">
        <f t="shared" si="9"/>
        <v>15746.13</v>
      </c>
      <c r="AD30" s="354">
        <f t="shared" si="9"/>
        <v>16333.992000000002</v>
      </c>
      <c r="AE30" s="354">
        <f t="shared" si="9"/>
        <v>16915.626</v>
      </c>
      <c r="AF30" s="354">
        <f t="shared" si="9"/>
        <v>8747.487000000001</v>
      </c>
      <c r="AG30" s="355">
        <f t="shared" si="9"/>
        <v>9102.33</v>
      </c>
      <c r="AH30" s="356">
        <f t="shared" si="9"/>
        <v>9102.33</v>
      </c>
      <c r="AI30" s="227">
        <f t="shared" si="9"/>
        <v>9280.17</v>
      </c>
      <c r="AJ30" s="227">
        <f t="shared" si="9"/>
        <v>9409.2749999999996</v>
      </c>
      <c r="AK30" s="227">
        <f t="shared" si="9"/>
        <v>9571.7250000000004</v>
      </c>
      <c r="AL30" s="227">
        <f t="shared" si="9"/>
        <v>9756.4049999999988</v>
      </c>
      <c r="AM30" s="228">
        <f t="shared" si="9"/>
        <v>9903.4650000000001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</row>
    <row r="31" spans="1:261" s="130" customFormat="1" ht="99.95" customHeight="1" thickBot="1" x14ac:dyDescent="0.3">
      <c r="A31" s="385" t="s">
        <v>0</v>
      </c>
      <c r="B31" s="386"/>
      <c r="C31" s="390"/>
      <c r="D31" s="374">
        <f>F31/$F$43</f>
        <v>0.24247690861467405</v>
      </c>
      <c r="E31" s="378">
        <v>14</v>
      </c>
      <c r="F31" s="394">
        <f>SUM(H32:AM32)</f>
        <v>810565.64099999995</v>
      </c>
      <c r="G31" s="230" t="s">
        <v>29</v>
      </c>
      <c r="H31" s="183"/>
      <c r="I31" s="184"/>
      <c r="J31" s="184"/>
      <c r="K31" s="209"/>
      <c r="L31" s="209"/>
      <c r="M31" s="210"/>
      <c r="N31" s="187"/>
      <c r="O31" s="188"/>
      <c r="P31" s="188"/>
      <c r="Q31" s="188"/>
      <c r="R31" s="188">
        <v>0.25</v>
      </c>
      <c r="S31" s="188">
        <v>0.3</v>
      </c>
      <c r="T31" s="188">
        <v>0.3</v>
      </c>
      <c r="U31" s="188">
        <v>0.3</v>
      </c>
      <c r="V31" s="188">
        <v>0.3</v>
      </c>
      <c r="W31" s="189">
        <v>0.35</v>
      </c>
      <c r="X31" s="190">
        <v>0.35</v>
      </c>
      <c r="Y31" s="191">
        <v>0.35</v>
      </c>
      <c r="Z31" s="191">
        <v>0.3</v>
      </c>
      <c r="AA31" s="191">
        <v>0.3</v>
      </c>
      <c r="AB31" s="191">
        <v>0.3</v>
      </c>
      <c r="AC31" s="335">
        <v>0.25</v>
      </c>
      <c r="AD31" s="335">
        <v>0.25</v>
      </c>
      <c r="AE31" s="335">
        <v>0.25</v>
      </c>
      <c r="AF31" s="335">
        <v>0.25</v>
      </c>
      <c r="AG31" s="336">
        <v>0.25</v>
      </c>
      <c r="AH31" s="337">
        <v>0.25</v>
      </c>
      <c r="AI31" s="194">
        <v>0.25</v>
      </c>
      <c r="AJ31" s="357">
        <v>0.25</v>
      </c>
      <c r="AK31" s="194">
        <v>0.25</v>
      </c>
      <c r="AL31" s="194">
        <v>0.1</v>
      </c>
      <c r="AM31" s="195">
        <v>0.05</v>
      </c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  <c r="IV31" s="65"/>
      <c r="IW31" s="65"/>
      <c r="IX31" s="65"/>
      <c r="IY31" s="65"/>
      <c r="IZ31" s="65"/>
    </row>
    <row r="32" spans="1:261" s="6" customFormat="1" ht="99.95" customHeight="1" thickBot="1" x14ac:dyDescent="0.3">
      <c r="A32" s="385"/>
      <c r="B32" s="386"/>
      <c r="C32" s="391"/>
      <c r="D32" s="387"/>
      <c r="E32" s="379"/>
      <c r="F32" s="395"/>
      <c r="G32" s="231" t="s">
        <v>30</v>
      </c>
      <c r="H32" s="358"/>
      <c r="I32" s="359"/>
      <c r="J32" s="359"/>
      <c r="K32" s="360"/>
      <c r="L32" s="360"/>
      <c r="M32" s="361"/>
      <c r="N32" s="362"/>
      <c r="O32" s="363"/>
      <c r="P32" s="363"/>
      <c r="Q32" s="363"/>
      <c r="R32" s="200">
        <f t="shared" ref="R32:AM32" si="10">R13*R31</f>
        <v>14790.6</v>
      </c>
      <c r="S32" s="200">
        <f t="shared" si="10"/>
        <v>22631.399999999998</v>
      </c>
      <c r="T32" s="200">
        <f t="shared" si="10"/>
        <v>25378.649999999998</v>
      </c>
      <c r="U32" s="200">
        <f t="shared" si="10"/>
        <v>28191.24</v>
      </c>
      <c r="V32" s="200">
        <f t="shared" si="10"/>
        <v>31137.21</v>
      </c>
      <c r="W32" s="201">
        <f t="shared" si="10"/>
        <v>39906.089999999997</v>
      </c>
      <c r="X32" s="212">
        <f t="shared" si="10"/>
        <v>43663.724999999999</v>
      </c>
      <c r="Y32" s="213">
        <f t="shared" si="10"/>
        <v>46122.803999999996</v>
      </c>
      <c r="Z32" s="213">
        <f t="shared" si="10"/>
        <v>41701.716</v>
      </c>
      <c r="AA32" s="213">
        <f t="shared" si="10"/>
        <v>43578.485999999997</v>
      </c>
      <c r="AB32" s="213">
        <f t="shared" si="10"/>
        <v>45491.49</v>
      </c>
      <c r="AC32" s="344">
        <f t="shared" si="10"/>
        <v>39365.324999999997</v>
      </c>
      <c r="AD32" s="344">
        <f t="shared" si="10"/>
        <v>40834.980000000003</v>
      </c>
      <c r="AE32" s="344">
        <f t="shared" si="10"/>
        <v>42289.065000000002</v>
      </c>
      <c r="AF32" s="344">
        <f t="shared" si="10"/>
        <v>43737.435000000005</v>
      </c>
      <c r="AG32" s="345">
        <f t="shared" si="10"/>
        <v>45511.65</v>
      </c>
      <c r="AH32" s="346">
        <f t="shared" si="10"/>
        <v>45511.65</v>
      </c>
      <c r="AI32" s="214">
        <f t="shared" si="10"/>
        <v>46400.85</v>
      </c>
      <c r="AJ32" s="364">
        <f t="shared" si="10"/>
        <v>47046.375</v>
      </c>
      <c r="AK32" s="214">
        <f t="shared" si="10"/>
        <v>47858.625</v>
      </c>
      <c r="AL32" s="214">
        <f t="shared" si="10"/>
        <v>19512.809999999998</v>
      </c>
      <c r="AM32" s="215">
        <f t="shared" si="10"/>
        <v>9903.4650000000001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</row>
    <row r="33" spans="1:260" s="130" customFormat="1" ht="99.95" customHeight="1" thickBot="1" x14ac:dyDescent="0.3">
      <c r="A33" s="385" t="s">
        <v>10</v>
      </c>
      <c r="B33" s="386"/>
      <c r="C33" s="390"/>
      <c r="D33" s="374">
        <f>F33/$F$43</f>
        <v>2.5306742701745922E-2</v>
      </c>
      <c r="E33" s="378">
        <v>6</v>
      </c>
      <c r="F33" s="394">
        <f>SUM(H34:AM34)</f>
        <v>84596.822999999989</v>
      </c>
      <c r="G33" s="230" t="s">
        <v>29</v>
      </c>
      <c r="H33" s="126"/>
      <c r="I33" s="126"/>
      <c r="J33" s="126"/>
      <c r="K33" s="127"/>
      <c r="L33" s="127"/>
      <c r="M33" s="115"/>
      <c r="N33" s="116"/>
      <c r="O33" s="117"/>
      <c r="P33" s="117"/>
      <c r="Q33" s="117"/>
      <c r="R33" s="117"/>
      <c r="S33" s="117"/>
      <c r="T33" s="117"/>
      <c r="U33" s="117">
        <v>0.1</v>
      </c>
      <c r="V33" s="117">
        <v>0.1</v>
      </c>
      <c r="W33" s="118">
        <v>0.05</v>
      </c>
      <c r="X33" s="119">
        <v>0.05</v>
      </c>
      <c r="Y33" s="120">
        <v>0.05</v>
      </c>
      <c r="Z33" s="120">
        <v>0.05</v>
      </c>
      <c r="AA33" s="120">
        <v>0.05</v>
      </c>
      <c r="AB33" s="120">
        <v>0.05</v>
      </c>
      <c r="AC33" s="61">
        <v>0.05</v>
      </c>
      <c r="AD33" s="61">
        <v>0.05</v>
      </c>
      <c r="AE33" s="61">
        <v>0.05</v>
      </c>
      <c r="AF33" s="61"/>
      <c r="AG33" s="62"/>
      <c r="AH33" s="63"/>
      <c r="AI33" s="123"/>
      <c r="AJ33" s="123"/>
      <c r="AK33" s="123"/>
      <c r="AL33" s="123"/>
      <c r="AM33" s="124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  <c r="IV33" s="65"/>
      <c r="IW33" s="65"/>
      <c r="IX33" s="65"/>
      <c r="IY33" s="65"/>
      <c r="IZ33" s="65"/>
    </row>
    <row r="34" spans="1:260" s="6" customFormat="1" ht="99.95" customHeight="1" thickBot="1" x14ac:dyDescent="0.3">
      <c r="A34" s="385"/>
      <c r="B34" s="386"/>
      <c r="C34" s="391"/>
      <c r="D34" s="387"/>
      <c r="E34" s="379"/>
      <c r="F34" s="395"/>
      <c r="G34" s="231" t="s">
        <v>30</v>
      </c>
      <c r="H34" s="5"/>
      <c r="I34" s="5"/>
      <c r="J34" s="323"/>
      <c r="K34" s="324"/>
      <c r="L34" s="324"/>
      <c r="M34" s="325"/>
      <c r="N34" s="326"/>
      <c r="O34" s="327"/>
      <c r="P34" s="327"/>
      <c r="Q34" s="327"/>
      <c r="R34" s="327"/>
      <c r="S34" s="327"/>
      <c r="T34" s="327"/>
      <c r="U34" s="175">
        <f t="shared" ref="U34:AE34" si="11">U13*U33</f>
        <v>9397.08</v>
      </c>
      <c r="V34" s="175">
        <f t="shared" si="11"/>
        <v>10379.07</v>
      </c>
      <c r="W34" s="176">
        <f t="shared" si="11"/>
        <v>5700.87</v>
      </c>
      <c r="X34" s="177">
        <f t="shared" si="11"/>
        <v>6237.6750000000002</v>
      </c>
      <c r="Y34" s="178">
        <f t="shared" si="11"/>
        <v>6588.9720000000007</v>
      </c>
      <c r="Z34" s="178">
        <f t="shared" si="11"/>
        <v>6950.2860000000001</v>
      </c>
      <c r="AA34" s="178">
        <f t="shared" si="11"/>
        <v>7263.0810000000001</v>
      </c>
      <c r="AB34" s="178">
        <f t="shared" si="11"/>
        <v>7581.915</v>
      </c>
      <c r="AC34" s="354">
        <f t="shared" si="11"/>
        <v>7873.0649999999996</v>
      </c>
      <c r="AD34" s="354">
        <f t="shared" si="11"/>
        <v>8166.996000000001</v>
      </c>
      <c r="AE34" s="354">
        <f t="shared" si="11"/>
        <v>8457.8130000000001</v>
      </c>
      <c r="AF34" s="365"/>
      <c r="AG34" s="366"/>
      <c r="AH34" s="367"/>
      <c r="AI34" s="333"/>
      <c r="AJ34" s="333"/>
      <c r="AK34" s="333"/>
      <c r="AL34" s="333"/>
      <c r="AM34" s="334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</row>
    <row r="35" spans="1:260" s="130" customFormat="1" ht="99.95" customHeight="1" thickBot="1" x14ac:dyDescent="0.3">
      <c r="A35" s="385" t="s">
        <v>23</v>
      </c>
      <c r="B35" s="386"/>
      <c r="C35" s="383" t="s">
        <v>8</v>
      </c>
      <c r="D35" s="374">
        <f>F35/$F$43</f>
        <v>5.8988735276576477E-2</v>
      </c>
      <c r="E35" s="378">
        <v>7</v>
      </c>
      <c r="F35" s="394">
        <f>SUM(H36:AM36)</f>
        <v>197190.90900000004</v>
      </c>
      <c r="G35" s="230" t="s">
        <v>29</v>
      </c>
      <c r="H35" s="129"/>
      <c r="I35" s="129"/>
      <c r="J35" s="209"/>
      <c r="K35" s="209"/>
      <c r="L35" s="209"/>
      <c r="M35" s="210"/>
      <c r="N35" s="187"/>
      <c r="O35" s="188"/>
      <c r="P35" s="188"/>
      <c r="Q35" s="188"/>
      <c r="R35" s="188"/>
      <c r="S35" s="188"/>
      <c r="T35" s="188"/>
      <c r="U35" s="188"/>
      <c r="V35" s="188"/>
      <c r="W35" s="189"/>
      <c r="X35" s="190"/>
      <c r="Y35" s="191"/>
      <c r="Z35" s="191"/>
      <c r="AA35" s="191"/>
      <c r="AB35" s="191"/>
      <c r="AC35" s="335">
        <v>0.05</v>
      </c>
      <c r="AD35" s="335">
        <v>0.1</v>
      </c>
      <c r="AE35" s="335">
        <v>0.1</v>
      </c>
      <c r="AF35" s="335">
        <v>0.15</v>
      </c>
      <c r="AG35" s="336">
        <v>0.15</v>
      </c>
      <c r="AH35" s="337">
        <v>0.15</v>
      </c>
      <c r="AI35" s="194">
        <v>0.15</v>
      </c>
      <c r="AJ35" s="357">
        <v>0.15</v>
      </c>
      <c r="AK35" s="357">
        <v>0.1</v>
      </c>
      <c r="AL35" s="357"/>
      <c r="AM35" s="19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  <c r="IV35" s="65"/>
      <c r="IW35" s="65"/>
      <c r="IX35" s="65"/>
      <c r="IY35" s="65"/>
      <c r="IZ35" s="65"/>
    </row>
    <row r="36" spans="1:260" s="6" customFormat="1" ht="99.95" customHeight="1" thickBot="1" x14ac:dyDescent="0.3">
      <c r="A36" s="385"/>
      <c r="B36" s="386"/>
      <c r="C36" s="384"/>
      <c r="D36" s="387"/>
      <c r="E36" s="379"/>
      <c r="F36" s="395"/>
      <c r="G36" s="231" t="s">
        <v>30</v>
      </c>
      <c r="H36" s="5"/>
      <c r="I36" s="5"/>
      <c r="J36" s="360"/>
      <c r="K36" s="360"/>
      <c r="L36" s="360"/>
      <c r="M36" s="361"/>
      <c r="N36" s="362"/>
      <c r="O36" s="363"/>
      <c r="P36" s="363"/>
      <c r="Q36" s="363"/>
      <c r="R36" s="363"/>
      <c r="S36" s="363"/>
      <c r="T36" s="363"/>
      <c r="U36" s="363"/>
      <c r="V36" s="363"/>
      <c r="W36" s="368"/>
      <c r="X36" s="369"/>
      <c r="Y36" s="370"/>
      <c r="Z36" s="370"/>
      <c r="AA36" s="370"/>
      <c r="AB36" s="370"/>
      <c r="AC36" s="344">
        <f t="shared" ref="AC36:AK36" si="12">AC13*AC35</f>
        <v>7873.0649999999996</v>
      </c>
      <c r="AD36" s="344">
        <f t="shared" si="12"/>
        <v>16333.992000000002</v>
      </c>
      <c r="AE36" s="344">
        <f t="shared" si="12"/>
        <v>16915.626</v>
      </c>
      <c r="AF36" s="344">
        <f t="shared" si="12"/>
        <v>26242.461000000003</v>
      </c>
      <c r="AG36" s="345">
        <f t="shared" si="12"/>
        <v>27306.99</v>
      </c>
      <c r="AH36" s="346">
        <f t="shared" si="12"/>
        <v>27306.99</v>
      </c>
      <c r="AI36" s="214">
        <f t="shared" si="12"/>
        <v>27840.51</v>
      </c>
      <c r="AJ36" s="364">
        <f t="shared" si="12"/>
        <v>28227.825000000001</v>
      </c>
      <c r="AK36" s="364">
        <f t="shared" si="12"/>
        <v>19143.45</v>
      </c>
      <c r="AL36" s="371"/>
      <c r="AM36" s="372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</row>
    <row r="37" spans="1:260" s="130" customFormat="1" ht="99.95" customHeight="1" thickBot="1" x14ac:dyDescent="0.3">
      <c r="A37" s="385" t="s">
        <v>5</v>
      </c>
      <c r="B37" s="386"/>
      <c r="C37" s="383" t="s">
        <v>8</v>
      </c>
      <c r="D37" s="374">
        <f>F37/$F$43</f>
        <v>6.870331942164061E-2</v>
      </c>
      <c r="E37" s="378">
        <v>8</v>
      </c>
      <c r="F37" s="394">
        <f>SUM(H38:AM38)</f>
        <v>229665.37500000006</v>
      </c>
      <c r="G37" s="230" t="s">
        <v>29</v>
      </c>
      <c r="H37" s="129"/>
      <c r="I37" s="129"/>
      <c r="J37" s="126"/>
      <c r="K37" s="127"/>
      <c r="L37" s="127"/>
      <c r="M37" s="115"/>
      <c r="N37" s="116"/>
      <c r="O37" s="117"/>
      <c r="P37" s="117"/>
      <c r="Q37" s="117"/>
      <c r="R37" s="117"/>
      <c r="S37" s="117"/>
      <c r="T37" s="117"/>
      <c r="U37" s="117"/>
      <c r="V37" s="117"/>
      <c r="W37" s="118"/>
      <c r="X37" s="119"/>
      <c r="Y37" s="120"/>
      <c r="Z37" s="120"/>
      <c r="AA37" s="120">
        <v>0.05</v>
      </c>
      <c r="AB37" s="120">
        <v>0.05</v>
      </c>
      <c r="AC37" s="61">
        <v>0.1</v>
      </c>
      <c r="AD37" s="61">
        <v>0.1</v>
      </c>
      <c r="AE37" s="61">
        <v>0.1</v>
      </c>
      <c r="AF37" s="61">
        <v>0.15</v>
      </c>
      <c r="AG37" s="62">
        <v>0.15</v>
      </c>
      <c r="AH37" s="63">
        <v>0.15</v>
      </c>
      <c r="AI37" s="123">
        <v>0.15</v>
      </c>
      <c r="AJ37" s="64">
        <v>0.15</v>
      </c>
      <c r="AK37" s="64">
        <v>0.1</v>
      </c>
      <c r="AL37" s="64">
        <v>0.05</v>
      </c>
      <c r="AM37" s="124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  <c r="IV37" s="65"/>
      <c r="IW37" s="65"/>
      <c r="IX37" s="65"/>
      <c r="IY37" s="65"/>
      <c r="IZ37" s="65"/>
    </row>
    <row r="38" spans="1:260" s="6" customFormat="1" ht="99.95" customHeight="1" thickBot="1" x14ac:dyDescent="0.3">
      <c r="A38" s="385"/>
      <c r="B38" s="386"/>
      <c r="C38" s="384"/>
      <c r="D38" s="387"/>
      <c r="E38" s="379"/>
      <c r="F38" s="395"/>
      <c r="G38" s="231" t="s">
        <v>30</v>
      </c>
      <c r="H38" s="5"/>
      <c r="I38" s="5"/>
      <c r="J38" s="323"/>
      <c r="K38" s="324"/>
      <c r="L38" s="324"/>
      <c r="M38" s="325"/>
      <c r="N38" s="326"/>
      <c r="O38" s="327"/>
      <c r="P38" s="327"/>
      <c r="Q38" s="327"/>
      <c r="R38" s="327"/>
      <c r="S38" s="327"/>
      <c r="T38" s="327"/>
      <c r="U38" s="327"/>
      <c r="V38" s="327"/>
      <c r="W38" s="328"/>
      <c r="X38" s="329"/>
      <c r="Y38" s="330"/>
      <c r="Z38" s="330"/>
      <c r="AA38" s="178">
        <f t="shared" ref="AA38:AL38" si="13">AA13*AA37</f>
        <v>7263.0810000000001</v>
      </c>
      <c r="AB38" s="178">
        <f t="shared" si="13"/>
        <v>7581.915</v>
      </c>
      <c r="AC38" s="354">
        <f t="shared" si="13"/>
        <v>15746.13</v>
      </c>
      <c r="AD38" s="354">
        <f t="shared" si="13"/>
        <v>16333.992000000002</v>
      </c>
      <c r="AE38" s="354">
        <f t="shared" si="13"/>
        <v>16915.626</v>
      </c>
      <c r="AF38" s="354">
        <f t="shared" si="13"/>
        <v>26242.461000000003</v>
      </c>
      <c r="AG38" s="355">
        <f t="shared" si="13"/>
        <v>27306.99</v>
      </c>
      <c r="AH38" s="356">
        <f t="shared" si="13"/>
        <v>27306.99</v>
      </c>
      <c r="AI38" s="181">
        <f t="shared" si="13"/>
        <v>27840.51</v>
      </c>
      <c r="AJ38" s="373">
        <f t="shared" si="13"/>
        <v>28227.825000000001</v>
      </c>
      <c r="AK38" s="373">
        <f t="shared" si="13"/>
        <v>19143.45</v>
      </c>
      <c r="AL38" s="373">
        <f t="shared" si="13"/>
        <v>9756.4049999999988</v>
      </c>
      <c r="AM38" s="334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</row>
    <row r="39" spans="1:260" s="130" customFormat="1" ht="99.95" customHeight="1" thickBot="1" x14ac:dyDescent="0.3">
      <c r="A39" s="385" t="s">
        <v>7</v>
      </c>
      <c r="B39" s="386"/>
      <c r="C39" s="383"/>
      <c r="D39" s="374">
        <f>F39/$F$43</f>
        <v>0.22641647965896855</v>
      </c>
      <c r="E39" s="378">
        <v>15</v>
      </c>
      <c r="F39" s="394">
        <f>SUM(H40:AM40)</f>
        <v>756877.92299999995</v>
      </c>
      <c r="G39" s="230" t="s">
        <v>29</v>
      </c>
      <c r="H39" s="128"/>
      <c r="I39" s="129"/>
      <c r="J39" s="209"/>
      <c r="K39" s="209"/>
      <c r="L39" s="209"/>
      <c r="M39" s="210"/>
      <c r="N39" s="187"/>
      <c r="O39" s="188"/>
      <c r="P39" s="188"/>
      <c r="Q39" s="188"/>
      <c r="R39" s="188"/>
      <c r="S39" s="188"/>
      <c r="T39" s="188"/>
      <c r="U39" s="188"/>
      <c r="V39" s="188"/>
      <c r="W39" s="189"/>
      <c r="X39" s="190"/>
      <c r="Y39" s="191"/>
      <c r="Z39" s="191">
        <v>0.1</v>
      </c>
      <c r="AA39" s="191">
        <v>0.1</v>
      </c>
      <c r="AB39" s="191">
        <v>0.25</v>
      </c>
      <c r="AC39" s="335">
        <v>0.2</v>
      </c>
      <c r="AD39" s="335">
        <v>0.2</v>
      </c>
      <c r="AE39" s="335">
        <v>0.25</v>
      </c>
      <c r="AF39" s="335">
        <v>0.25</v>
      </c>
      <c r="AG39" s="336">
        <v>0.3</v>
      </c>
      <c r="AH39" s="337">
        <v>0.35</v>
      </c>
      <c r="AI39" s="194">
        <v>0.4</v>
      </c>
      <c r="AJ39" s="357">
        <v>0.4</v>
      </c>
      <c r="AK39" s="357">
        <v>0.5</v>
      </c>
      <c r="AL39" s="357">
        <v>0.5</v>
      </c>
      <c r="AM39" s="195">
        <v>0.4</v>
      </c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  <c r="IW39" s="65"/>
      <c r="IX39" s="65"/>
      <c r="IY39" s="65"/>
      <c r="IZ39" s="65"/>
    </row>
    <row r="40" spans="1:260" s="6" customFormat="1" ht="99.95" customHeight="1" thickBot="1" x14ac:dyDescent="0.3">
      <c r="A40" s="402"/>
      <c r="B40" s="403"/>
      <c r="C40" s="396"/>
      <c r="D40" s="375"/>
      <c r="E40" s="380"/>
      <c r="F40" s="393"/>
      <c r="G40" s="169" t="s">
        <v>30</v>
      </c>
      <c r="H40" s="297"/>
      <c r="I40" s="298"/>
      <c r="J40" s="299"/>
      <c r="K40" s="299"/>
      <c r="L40" s="299"/>
      <c r="M40" s="300"/>
      <c r="N40" s="301"/>
      <c r="O40" s="302"/>
      <c r="P40" s="302"/>
      <c r="Q40" s="302"/>
      <c r="R40" s="302"/>
      <c r="S40" s="302"/>
      <c r="T40" s="302"/>
      <c r="U40" s="302"/>
      <c r="V40" s="302"/>
      <c r="W40" s="303"/>
      <c r="X40" s="304"/>
      <c r="Y40" s="305"/>
      <c r="Z40" s="306">
        <f t="shared" ref="Z40:AM40" si="14">Z13*Z39</f>
        <v>13900.572</v>
      </c>
      <c r="AA40" s="306">
        <f t="shared" si="14"/>
        <v>14526.162</v>
      </c>
      <c r="AB40" s="306">
        <f t="shared" si="14"/>
        <v>37909.574999999997</v>
      </c>
      <c r="AC40" s="307">
        <f t="shared" si="14"/>
        <v>31492.26</v>
      </c>
      <c r="AD40" s="307">
        <f t="shared" si="14"/>
        <v>32667.984000000004</v>
      </c>
      <c r="AE40" s="307">
        <f t="shared" si="14"/>
        <v>42289.065000000002</v>
      </c>
      <c r="AF40" s="307">
        <f t="shared" si="14"/>
        <v>43737.435000000005</v>
      </c>
      <c r="AG40" s="308">
        <f t="shared" si="14"/>
        <v>54613.98</v>
      </c>
      <c r="AH40" s="309">
        <f t="shared" si="14"/>
        <v>63716.31</v>
      </c>
      <c r="AI40" s="310">
        <f t="shared" si="14"/>
        <v>74241.36</v>
      </c>
      <c r="AJ40" s="311">
        <f t="shared" si="14"/>
        <v>75274.2</v>
      </c>
      <c r="AK40" s="311">
        <f t="shared" si="14"/>
        <v>95717.25</v>
      </c>
      <c r="AL40" s="311">
        <f t="shared" si="14"/>
        <v>97564.049999999988</v>
      </c>
      <c r="AM40" s="312">
        <f t="shared" si="14"/>
        <v>79227.72</v>
      </c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</row>
    <row r="41" spans="1:260" s="130" customFormat="1" ht="99.95" hidden="1" customHeight="1" thickTop="1" thickBot="1" x14ac:dyDescent="0.3">
      <c r="A41" s="404" t="s">
        <v>11</v>
      </c>
      <c r="B41" s="405"/>
      <c r="C41" s="417"/>
      <c r="D41" s="376">
        <f>F41/$F$43</f>
        <v>4.7137247604222991E-2</v>
      </c>
      <c r="E41" s="381" t="e">
        <f>G41/$F$43</f>
        <v>#VALUE!</v>
      </c>
      <c r="F41" s="392">
        <f>SUM(H42:AM42)</f>
        <v>157573.07999999999</v>
      </c>
      <c r="G41" s="314" t="s">
        <v>29</v>
      </c>
      <c r="H41" s="126"/>
      <c r="I41" s="126"/>
      <c r="J41" s="126"/>
      <c r="K41" s="127"/>
      <c r="L41" s="127"/>
      <c r="M41" s="115"/>
      <c r="N41" s="116"/>
      <c r="O41" s="117"/>
      <c r="P41" s="117"/>
      <c r="Q41" s="117"/>
      <c r="R41" s="117"/>
      <c r="S41" s="117"/>
      <c r="T41" s="117"/>
      <c r="U41" s="117"/>
      <c r="V41" s="117"/>
      <c r="W41" s="118"/>
      <c r="X41" s="119"/>
      <c r="Y41" s="120"/>
      <c r="Z41" s="120"/>
      <c r="AA41" s="120"/>
      <c r="AB41" s="120"/>
      <c r="AC41" s="61"/>
      <c r="AD41" s="61"/>
      <c r="AE41" s="61"/>
      <c r="AF41" s="61"/>
      <c r="AG41" s="62"/>
      <c r="AH41" s="63"/>
      <c r="AI41" s="123"/>
      <c r="AJ41" s="64"/>
      <c r="AK41" s="64"/>
      <c r="AL41" s="64">
        <v>0.3</v>
      </c>
      <c r="AM41" s="124">
        <v>0.5</v>
      </c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  <c r="IW41" s="65"/>
      <c r="IX41" s="65"/>
      <c r="IY41" s="65"/>
      <c r="IZ41" s="65"/>
    </row>
    <row r="42" spans="1:260" s="6" customFormat="1" ht="99.95" hidden="1" customHeight="1" thickBot="1" x14ac:dyDescent="0.3">
      <c r="A42" s="406"/>
      <c r="B42" s="386"/>
      <c r="C42" s="396"/>
      <c r="D42" s="377"/>
      <c r="E42" s="382"/>
      <c r="F42" s="393"/>
      <c r="G42" s="232" t="s">
        <v>30</v>
      </c>
      <c r="H42" s="82"/>
      <c r="I42" s="82"/>
      <c r="J42" s="82"/>
      <c r="K42" s="83"/>
      <c r="L42" s="83"/>
      <c r="M42" s="84"/>
      <c r="N42" s="85"/>
      <c r="O42" s="86"/>
      <c r="P42" s="86"/>
      <c r="Q42" s="86"/>
      <c r="R42" s="86"/>
      <c r="S42" s="86"/>
      <c r="T42" s="86"/>
      <c r="U42" s="86"/>
      <c r="V42" s="86"/>
      <c r="W42" s="87"/>
      <c r="X42" s="88"/>
      <c r="Y42" s="89"/>
      <c r="Z42" s="89"/>
      <c r="AA42" s="89"/>
      <c r="AB42" s="89"/>
      <c r="AC42" s="90"/>
      <c r="AD42" s="90"/>
      <c r="AE42" s="90"/>
      <c r="AF42" s="90"/>
      <c r="AG42" s="91"/>
      <c r="AH42" s="92"/>
      <c r="AI42" s="93"/>
      <c r="AJ42" s="94"/>
      <c r="AK42" s="94"/>
      <c r="AL42" s="248">
        <f>AL13*AL41</f>
        <v>58538.429999999993</v>
      </c>
      <c r="AM42" s="249">
        <f>AM13*AM41</f>
        <v>99034.65</v>
      </c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</row>
    <row r="43" spans="1:260" ht="74.25" hidden="1" customHeight="1" x14ac:dyDescent="0.7">
      <c r="A43" s="7" t="s">
        <v>8</v>
      </c>
      <c r="B43" s="8"/>
      <c r="F43" s="250">
        <f>SUM(F15:F42)</f>
        <v>3342857.0400000005</v>
      </c>
      <c r="H43" s="7" t="s">
        <v>12</v>
      </c>
    </row>
    <row r="44" spans="1:260" ht="47.25" thickTop="1" x14ac:dyDescent="0.7">
      <c r="A44" s="7" t="s">
        <v>17</v>
      </c>
      <c r="B44" s="8"/>
    </row>
    <row r="45" spans="1:260" x14ac:dyDescent="0.7">
      <c r="B45" s="8"/>
    </row>
    <row r="46" spans="1:260" x14ac:dyDescent="0.7">
      <c r="B46" s="8"/>
    </row>
    <row r="47" spans="1:260" x14ac:dyDescent="0.7">
      <c r="B47" s="8"/>
    </row>
    <row r="48" spans="1:260" x14ac:dyDescent="0.7">
      <c r="B48" s="8"/>
    </row>
    <row r="49" spans="1:260" x14ac:dyDescent="0.7">
      <c r="B49" s="8"/>
    </row>
    <row r="50" spans="1:260" x14ac:dyDescent="0.7">
      <c r="B50" s="8"/>
    </row>
    <row r="51" spans="1:260" x14ac:dyDescent="0.7">
      <c r="B51" s="8"/>
    </row>
    <row r="52" spans="1:260" s="9" customFormat="1" x14ac:dyDescent="0.7">
      <c r="A52" s="7"/>
      <c r="B52" s="8"/>
      <c r="D52" s="256"/>
      <c r="E52" s="296"/>
      <c r="F52" s="142"/>
      <c r="G52" s="142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</row>
    <row r="53" spans="1:260" s="9" customFormat="1" x14ac:dyDescent="0.7">
      <c r="A53" s="7"/>
      <c r="B53" s="8"/>
      <c r="D53" s="256"/>
      <c r="E53" s="296"/>
      <c r="F53" s="142"/>
      <c r="G53" s="142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</row>
  </sheetData>
  <sheetProtection password="DCBF" sheet="1" objects="1" scenarios="1" selectLockedCells="1" selectUnlockedCells="1"/>
  <mergeCells count="70">
    <mergeCell ref="C21:C22"/>
    <mergeCell ref="A25:B26"/>
    <mergeCell ref="A27:B28"/>
    <mergeCell ref="A29:B30"/>
    <mergeCell ref="C29:C30"/>
    <mergeCell ref="A37:B38"/>
    <mergeCell ref="A39:B40"/>
    <mergeCell ref="A41:B42"/>
    <mergeCell ref="C15:C16"/>
    <mergeCell ref="C23:C24"/>
    <mergeCell ref="C17:C18"/>
    <mergeCell ref="C19:C20"/>
    <mergeCell ref="A15:B16"/>
    <mergeCell ref="A23:B24"/>
    <mergeCell ref="A17:B18"/>
    <mergeCell ref="A19:B20"/>
    <mergeCell ref="A21:B22"/>
    <mergeCell ref="C41:C42"/>
    <mergeCell ref="C37:C38"/>
    <mergeCell ref="A33:B34"/>
    <mergeCell ref="C33:C34"/>
    <mergeCell ref="C39:C40"/>
    <mergeCell ref="F15:F16"/>
    <mergeCell ref="F17:F18"/>
    <mergeCell ref="F19:F20"/>
    <mergeCell ref="F21:F22"/>
    <mergeCell ref="D15:D16"/>
    <mergeCell ref="D17:D18"/>
    <mergeCell ref="F39:F40"/>
    <mergeCell ref="E15:E16"/>
    <mergeCell ref="E17:E18"/>
    <mergeCell ref="E19:E20"/>
    <mergeCell ref="D19:D20"/>
    <mergeCell ref="D21:D22"/>
    <mergeCell ref="F25:F26"/>
    <mergeCell ref="E21:E22"/>
    <mergeCell ref="C27:C28"/>
    <mergeCell ref="F41:F42"/>
    <mergeCell ref="D23:D24"/>
    <mergeCell ref="D25:D26"/>
    <mergeCell ref="D27:D28"/>
    <mergeCell ref="D29:D30"/>
    <mergeCell ref="D31:D32"/>
    <mergeCell ref="D33:D34"/>
    <mergeCell ref="F27:F28"/>
    <mergeCell ref="F29:F30"/>
    <mergeCell ref="F31:F32"/>
    <mergeCell ref="F33:F34"/>
    <mergeCell ref="F35:F36"/>
    <mergeCell ref="F23:F24"/>
    <mergeCell ref="F37:F38"/>
    <mergeCell ref="E23:E24"/>
    <mergeCell ref="D37:D38"/>
    <mergeCell ref="C35:C36"/>
    <mergeCell ref="A35:B36"/>
    <mergeCell ref="D35:D36"/>
    <mergeCell ref="E25:E26"/>
    <mergeCell ref="E27:E28"/>
    <mergeCell ref="E29:E30"/>
    <mergeCell ref="E31:E32"/>
    <mergeCell ref="E33:E34"/>
    <mergeCell ref="E35:E36"/>
    <mergeCell ref="C25:C26"/>
    <mergeCell ref="A31:B32"/>
    <mergeCell ref="C31:C32"/>
    <mergeCell ref="D39:D40"/>
    <mergeCell ref="D41:D42"/>
    <mergeCell ref="E37:E38"/>
    <mergeCell ref="E39:E40"/>
    <mergeCell ref="E41:E42"/>
  </mergeCells>
  <printOptions horizontalCentered="1" verticalCentered="1"/>
  <pageMargins left="0.25" right="0.25" top="0" bottom="0" header="0" footer="0"/>
  <pageSetup paperSize="3" scale="1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Hemet Rarity</vt:lpstr>
      <vt:lpstr>'Hemet Rarity'!Print_Area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Hornung</dc:creator>
  <cp:lastModifiedBy>Hornung</cp:lastModifiedBy>
  <cp:lastPrinted>2015-03-23T02:46:02Z</cp:lastPrinted>
  <dcterms:created xsi:type="dcterms:W3CDTF">2015-03-21T23:11:15Z</dcterms:created>
  <dcterms:modified xsi:type="dcterms:W3CDTF">2015-03-25T11:09:19Z</dcterms:modified>
</cp:coreProperties>
</file>